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l Dave Files\All Dave Files\NAHRO\State\Conf2020\Budget\"/>
    </mc:Choice>
  </mc:AlternateContent>
  <xr:revisionPtr revIDLastSave="0" documentId="13_ncr:1_{DD60FC97-4C79-407A-89D7-5BF6A71501B3}" xr6:coauthVersionLast="45" xr6:coauthVersionMax="45" xr10:uidLastSave="{00000000-0000-0000-0000-000000000000}"/>
  <bookViews>
    <workbookView xWindow="-120" yWindow="-120" windowWidth="24240" windowHeight="13140" tabRatio="623" xr2:uid="{00000000-000D-0000-FFFF-FFFF00000000}"/>
  </bookViews>
  <sheets>
    <sheet name="Budget" sheetId="1" r:id="rId1"/>
    <sheet name="Profit Sharing" sheetId="17" r:id="rId2"/>
    <sheet name="Speakers" sheetId="16" r:id="rId3"/>
    <sheet name="Mgmt Food Budget" sheetId="2" r:id="rId4"/>
    <sheet name="Maint Food Budget" sheetId="3" r:id="rId5"/>
    <sheet name="Mgmt Food Actual" sheetId="15" r:id="rId6"/>
    <sheet name="Maint Food Actual" sheetId="14" r:id="rId7"/>
    <sheet name="Audio Visual" sheetId="7" r:id="rId8"/>
    <sheet name="Hotel Pick Up" sheetId="12" r:id="rId9"/>
    <sheet name="Convention Center Invoice" sheetId="13" r:id="rId10"/>
  </sheets>
  <externalReferences>
    <externalReference r:id="rId11"/>
    <externalReference r:id="rId12"/>
  </externalReferences>
  <definedNames>
    <definedName name="_xlnm.Print_Area" localSheetId="0">Budget!$A$1:$X$109</definedName>
    <definedName name="_xlnm.Print_Area" localSheetId="9">'Convention Center Invoice'!$A$1:$B$16</definedName>
    <definedName name="_xlnm.Print_Area" localSheetId="1">'Profit Sharing'!$A$24:$B$38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57" i="1" l="1"/>
  <c r="AC62" i="1" l="1"/>
  <c r="AC60" i="1"/>
  <c r="W95" i="1" l="1"/>
  <c r="W91" i="1"/>
  <c r="W70" i="1"/>
  <c r="W47" i="1"/>
  <c r="W107" i="1" s="1"/>
  <c r="W21" i="1"/>
  <c r="W106" i="1" s="1"/>
  <c r="W13" i="1"/>
  <c r="W109" i="1" l="1"/>
  <c r="AG109" i="1"/>
  <c r="X57" i="1" l="1"/>
  <c r="O7" i="13"/>
  <c r="B7" i="13"/>
  <c r="D6" i="13"/>
  <c r="B15" i="13"/>
  <c r="K11" i="13" s="1"/>
  <c r="K8" i="13"/>
  <c r="K7" i="13"/>
  <c r="I14" i="13" l="1"/>
  <c r="E12" i="13"/>
  <c r="C16" i="13"/>
  <c r="D3" i="13" s="1"/>
  <c r="D5" i="13" s="1"/>
  <c r="D7" i="13" s="1"/>
  <c r="D8" i="13" s="1"/>
  <c r="D10" i="13" s="1"/>
  <c r="G6" i="13"/>
  <c r="D4" i="13"/>
  <c r="X13" i="1" l="1"/>
  <c r="AH74" i="1" l="1"/>
  <c r="X96" i="1" l="1"/>
  <c r="AF84" i="1" l="1"/>
  <c r="E66" i="15" l="1"/>
  <c r="G66" i="15" l="1"/>
  <c r="X70" i="1" l="1"/>
  <c r="X95" i="1"/>
  <c r="AH73" i="1"/>
  <c r="AH72" i="1"/>
  <c r="AC53" i="1"/>
  <c r="AC54" i="1" s="1"/>
  <c r="AC52" i="1"/>
  <c r="X21" i="1" l="1"/>
  <c r="X106" i="1" s="1"/>
  <c r="Y70" i="1" l="1"/>
  <c r="Y38" i="1"/>
  <c r="Y47" i="1" s="1"/>
  <c r="Y107" i="1" s="1"/>
  <c r="Y16" i="1"/>
  <c r="Y21" i="1" s="1"/>
  <c r="Y106" i="1" s="1"/>
  <c r="AC14" i="1"/>
  <c r="AD14" i="1" s="1"/>
  <c r="Y109" i="1" l="1"/>
  <c r="AA47" i="1"/>
  <c r="AB20" i="1" l="1"/>
  <c r="AA82" i="1" l="1"/>
  <c r="B9" i="13"/>
  <c r="B4" i="13"/>
  <c r="K9" i="13" l="1"/>
  <c r="K10" i="13" s="1"/>
  <c r="K12" i="13" s="1"/>
  <c r="B16" i="13"/>
  <c r="C9" i="13"/>
  <c r="C13" i="13" s="1"/>
  <c r="C14" i="13" s="1"/>
  <c r="E13" i="13"/>
  <c r="E14" i="13" s="1"/>
  <c r="B11" i="13"/>
  <c r="K4" i="13" l="1"/>
  <c r="K5" i="13" s="1"/>
  <c r="D16" i="13"/>
  <c r="AA84" i="1"/>
  <c r="AG94" i="1"/>
  <c r="X88" i="1" s="1"/>
  <c r="AA95" i="1" l="1"/>
  <c r="AA91" i="1"/>
  <c r="AA70" i="1"/>
  <c r="AA57" i="1"/>
  <c r="AA21" i="1" l="1"/>
  <c r="AA106" i="1" s="1"/>
  <c r="AB14" i="1" l="1"/>
  <c r="AC15" i="1" s="1"/>
  <c r="Z96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68" i="1"/>
  <c r="Z67" i="1"/>
  <c r="Z66" i="1"/>
  <c r="Z64" i="1"/>
  <c r="Z63" i="1"/>
  <c r="Z57" i="1"/>
  <c r="Z42" i="1"/>
  <c r="AB18" i="1"/>
  <c r="Z21" i="1"/>
  <c r="Z106" i="1" s="1"/>
  <c r="AK30" i="1"/>
  <c r="Z91" i="1" l="1"/>
  <c r="B29" i="17" l="1"/>
  <c r="B32" i="17" s="1"/>
  <c r="B33" i="17" s="1"/>
  <c r="B38" i="17" s="1"/>
  <c r="I8" i="17"/>
  <c r="E22" i="17" l="1"/>
  <c r="B6" i="17"/>
  <c r="B9" i="17" l="1"/>
  <c r="B10" i="17" s="1"/>
  <c r="B15" i="17" s="1"/>
  <c r="I9" i="17"/>
  <c r="AJ104" i="1"/>
  <c r="AK104" i="1" s="1"/>
  <c r="AK106" i="1" s="1"/>
  <c r="V104" i="1" s="1"/>
  <c r="AA107" i="1" s="1"/>
  <c r="AB107" i="1" s="1"/>
  <c r="V16" i="1" l="1"/>
  <c r="AB16" i="1" s="1"/>
  <c r="AL16" i="1"/>
  <c r="AH18" i="1"/>
  <c r="AK18" i="1" s="1"/>
  <c r="AL91" i="1"/>
  <c r="AL92" i="1" s="1"/>
  <c r="AL93" i="1" s="1"/>
  <c r="AE38" i="1"/>
  <c r="V96" i="1"/>
  <c r="AI101" i="1" s="1"/>
  <c r="AI104" i="1" l="1"/>
  <c r="D15" i="7" l="1"/>
  <c r="D20" i="7"/>
  <c r="G13" i="7"/>
  <c r="D12" i="7"/>
  <c r="D11" i="7"/>
  <c r="D13" i="7" l="1"/>
  <c r="D16" i="7" s="1"/>
  <c r="D27" i="7" s="1"/>
  <c r="G18" i="7"/>
  <c r="D18" i="7"/>
  <c r="D21" i="7" s="1"/>
  <c r="D23" i="7" s="1"/>
  <c r="D25" i="7" s="1"/>
  <c r="V42" i="1"/>
  <c r="AF21" i="1" l="1"/>
  <c r="AH77" i="1" l="1"/>
  <c r="V74" i="1" l="1"/>
  <c r="X74" i="1"/>
  <c r="E36" i="15"/>
  <c r="E26" i="15"/>
  <c r="F26" i="15" l="1"/>
  <c r="G26" i="15" s="1"/>
  <c r="F36" i="15"/>
  <c r="G36" i="15" s="1"/>
  <c r="I17" i="14" l="1"/>
  <c r="AJ47" i="1" l="1"/>
  <c r="AJ49" i="1" s="1"/>
  <c r="V65" i="1" l="1"/>
  <c r="Z65" i="1" s="1"/>
  <c r="Z70" i="1" s="1"/>
  <c r="AG53" i="1"/>
  <c r="V57" i="1"/>
  <c r="V21" i="1"/>
  <c r="V46" i="1" l="1"/>
  <c r="X46" i="1"/>
  <c r="V70" i="1"/>
  <c r="V106" i="1"/>
  <c r="AH21" i="1"/>
  <c r="AE16" i="1"/>
  <c r="AE21" i="1" s="1"/>
  <c r="AE105" i="1" l="1"/>
  <c r="AE104" i="1"/>
  <c r="AE106" i="1" l="1"/>
  <c r="AE107" i="1" s="1"/>
  <c r="U104" i="1" s="1"/>
  <c r="U97" i="1"/>
  <c r="U95" i="1"/>
  <c r="U88" i="1"/>
  <c r="U84" i="1"/>
  <c r="U65" i="1"/>
  <c r="U70" i="1" s="1"/>
  <c r="U57" i="1"/>
  <c r="U47" i="1"/>
  <c r="U21" i="1"/>
  <c r="U106" i="1" s="1"/>
  <c r="U107" i="1" l="1"/>
  <c r="U109" i="1" s="1"/>
  <c r="U110" i="1" s="1"/>
  <c r="T57" i="1" l="1"/>
  <c r="G80" i="13"/>
  <c r="D85" i="13"/>
  <c r="D83" i="13"/>
  <c r="E85" i="13" s="1"/>
  <c r="G81" i="13" s="1"/>
  <c r="D81" i="13"/>
  <c r="D80" i="13"/>
  <c r="D75" i="13"/>
  <c r="D79" i="13" s="1"/>
  <c r="G79" i="13" l="1"/>
  <c r="G87" i="13" s="1"/>
  <c r="F87" i="13"/>
  <c r="D87" i="13"/>
  <c r="D90" i="13" s="1"/>
  <c r="C49" i="13" l="1"/>
  <c r="C71" i="13"/>
  <c r="C72" i="13" s="1"/>
  <c r="C69" i="13"/>
  <c r="C46" i="13"/>
  <c r="C66" i="13"/>
  <c r="C65" i="13"/>
  <c r="C70" i="13" s="1"/>
  <c r="C63" i="13"/>
  <c r="C62" i="13"/>
  <c r="C64" i="13" s="1"/>
  <c r="C60" i="13"/>
  <c r="C59" i="13"/>
  <c r="C55" i="13"/>
  <c r="C54" i="13"/>
  <c r="C38" i="13" l="1"/>
  <c r="C58" i="13"/>
  <c r="C61" i="13"/>
  <c r="C30" i="13"/>
  <c r="C25" i="13"/>
  <c r="B87" i="13"/>
  <c r="C73" i="13" l="1"/>
  <c r="C50" i="13"/>
  <c r="C75" i="13" s="1"/>
  <c r="AG48" i="1"/>
  <c r="T97" i="1" l="1"/>
  <c r="T91" i="1" l="1"/>
  <c r="V91" i="1"/>
  <c r="AF43" i="1"/>
  <c r="AG43" i="1"/>
  <c r="AH42" i="1"/>
  <c r="AH41" i="1"/>
  <c r="I46" i="14"/>
  <c r="F42" i="14"/>
  <c r="G42" i="14" s="1"/>
  <c r="F41" i="14"/>
  <c r="G41" i="14" s="1"/>
  <c r="F40" i="14"/>
  <c r="G40" i="14" s="1"/>
  <c r="G46" i="14" s="1"/>
  <c r="F39" i="14"/>
  <c r="G39" i="14" s="1"/>
  <c r="F38" i="14"/>
  <c r="E28" i="14"/>
  <c r="F28" i="14" s="1"/>
  <c r="G28" i="14" s="1"/>
  <c r="E27" i="14"/>
  <c r="F26" i="14"/>
  <c r="E24" i="14"/>
  <c r="E23" i="14"/>
  <c r="F23" i="14" s="1"/>
  <c r="G23" i="14" s="1"/>
  <c r="F22" i="14"/>
  <c r="E20" i="14"/>
  <c r="F20" i="14" s="1"/>
  <c r="G20" i="14" s="1"/>
  <c r="E19" i="14"/>
  <c r="F19" i="14" s="1"/>
  <c r="F18" i="14"/>
  <c r="E16" i="14"/>
  <c r="E15" i="14"/>
  <c r="F15" i="14" s="1"/>
  <c r="G15" i="14" s="1"/>
  <c r="E10" i="14"/>
  <c r="E9" i="14"/>
  <c r="E4" i="14"/>
  <c r="F4" i="14" s="1"/>
  <c r="G4" i="14" s="1"/>
  <c r="E3" i="14"/>
  <c r="F3" i="14" s="1"/>
  <c r="E67" i="15"/>
  <c r="E65" i="15"/>
  <c r="E63" i="15"/>
  <c r="G62" i="15"/>
  <c r="E61" i="15"/>
  <c r="G61" i="15" s="1"/>
  <c r="E49" i="15"/>
  <c r="E51" i="15" s="1"/>
  <c r="E35" i="15"/>
  <c r="F35" i="15" s="1"/>
  <c r="G35" i="15" s="1"/>
  <c r="E34" i="15"/>
  <c r="F34" i="15" s="1"/>
  <c r="F33" i="15"/>
  <c r="E31" i="15"/>
  <c r="E30" i="15"/>
  <c r="F30" i="15" s="1"/>
  <c r="G30" i="15" s="1"/>
  <c r="E29" i="15"/>
  <c r="F29" i="15" s="1"/>
  <c r="F28" i="15"/>
  <c r="E25" i="15"/>
  <c r="E24" i="15"/>
  <c r="F23" i="15"/>
  <c r="E21" i="15"/>
  <c r="F21" i="15" s="1"/>
  <c r="G21" i="15" s="1"/>
  <c r="E20" i="15"/>
  <c r="F20" i="15" s="1"/>
  <c r="G20" i="15" s="1"/>
  <c r="H19" i="15"/>
  <c r="I19" i="15" s="1"/>
  <c r="E19" i="15"/>
  <c r="I14" i="15"/>
  <c r="E13" i="15"/>
  <c r="E10" i="15"/>
  <c r="E6" i="15"/>
  <c r="F6" i="15" s="1"/>
  <c r="G6" i="15" s="1"/>
  <c r="E5" i="15"/>
  <c r="F5" i="15" s="1"/>
  <c r="E4" i="15"/>
  <c r="E3" i="15"/>
  <c r="E29" i="14" l="1"/>
  <c r="F29" i="14" s="1"/>
  <c r="AH43" i="1"/>
  <c r="E22" i="15"/>
  <c r="E12" i="14"/>
  <c r="E17" i="14"/>
  <c r="F17" i="14" s="1"/>
  <c r="E25" i="14"/>
  <c r="F25" i="14" s="1"/>
  <c r="E27" i="15"/>
  <c r="F6" i="14"/>
  <c r="E68" i="15"/>
  <c r="F37" i="15"/>
  <c r="E32" i="15"/>
  <c r="F19" i="15"/>
  <c r="F22" i="15" s="1"/>
  <c r="E16" i="15"/>
  <c r="E7" i="15"/>
  <c r="F3" i="15"/>
  <c r="G3" i="15" s="1"/>
  <c r="F10" i="14"/>
  <c r="G10" i="14" s="1"/>
  <c r="F27" i="14"/>
  <c r="G27" i="14" s="1"/>
  <c r="G29" i="14" s="1"/>
  <c r="G3" i="14"/>
  <c r="E6" i="14"/>
  <c r="F9" i="14"/>
  <c r="F16" i="14"/>
  <c r="G16" i="14" s="1"/>
  <c r="G17" i="14" s="1"/>
  <c r="G19" i="14"/>
  <c r="G21" i="14" s="1"/>
  <c r="E21" i="14"/>
  <c r="F21" i="14" s="1"/>
  <c r="F24" i="14"/>
  <c r="G24" i="14" s="1"/>
  <c r="G25" i="14" s="1"/>
  <c r="F13" i="15"/>
  <c r="G13" i="15" s="1"/>
  <c r="F25" i="15"/>
  <c r="G25" i="15" s="1"/>
  <c r="G29" i="15"/>
  <c r="F4" i="15"/>
  <c r="G4" i="15" s="1"/>
  <c r="G5" i="15"/>
  <c r="F10" i="15"/>
  <c r="F24" i="15"/>
  <c r="F31" i="15"/>
  <c r="F32" i="15" s="1"/>
  <c r="G34" i="15"/>
  <c r="G37" i="15" s="1"/>
  <c r="E37" i="15"/>
  <c r="F63" i="15"/>
  <c r="F65" i="15"/>
  <c r="G65" i="15" s="1"/>
  <c r="F67" i="15"/>
  <c r="G67" i="15" s="1"/>
  <c r="T104" i="1"/>
  <c r="T95" i="1"/>
  <c r="T65" i="1"/>
  <c r="T70" i="1" s="1"/>
  <c r="E6" i="2"/>
  <c r="G31" i="14" l="1"/>
  <c r="I31" i="14" s="1"/>
  <c r="I49" i="14" s="1"/>
  <c r="F12" i="14"/>
  <c r="F27" i="15"/>
  <c r="F6" i="2"/>
  <c r="G6" i="2" s="1"/>
  <c r="F31" i="14"/>
  <c r="F34" i="14" s="1"/>
  <c r="E39" i="15"/>
  <c r="E56" i="15" s="1"/>
  <c r="E70" i="15" s="1"/>
  <c r="G19" i="15"/>
  <c r="G22" i="15" s="1"/>
  <c r="F16" i="15"/>
  <c r="G7" i="15"/>
  <c r="F7" i="15"/>
  <c r="G9" i="14"/>
  <c r="G12" i="14" s="1"/>
  <c r="E31" i="14"/>
  <c r="E34" i="14" s="1"/>
  <c r="G6" i="14"/>
  <c r="F39" i="15"/>
  <c r="F68" i="15"/>
  <c r="G31" i="15"/>
  <c r="G32" i="15" s="1"/>
  <c r="G24" i="15"/>
  <c r="G27" i="15" s="1"/>
  <c r="G63" i="15"/>
  <c r="G68" i="15" s="1"/>
  <c r="G10" i="15"/>
  <c r="G16" i="15" s="1"/>
  <c r="T28" i="1" s="1"/>
  <c r="T21" i="1"/>
  <c r="T106" i="1" s="1"/>
  <c r="AA26" i="1" l="1"/>
  <c r="AA28" i="1"/>
  <c r="V34" i="1"/>
  <c r="Z34" i="1" s="1"/>
  <c r="AA34" i="1"/>
  <c r="V26" i="1"/>
  <c r="Z26" i="1" s="1"/>
  <c r="V28" i="1"/>
  <c r="Z28" i="1" s="1"/>
  <c r="T26" i="1"/>
  <c r="T34" i="1"/>
  <c r="G39" i="15"/>
  <c r="F56" i="15"/>
  <c r="F70" i="15" s="1"/>
  <c r="G34" i="14"/>
  <c r="G49" i="14" s="1"/>
  <c r="S7" i="1"/>
  <c r="V27" i="1" l="1"/>
  <c r="Z27" i="1" s="1"/>
  <c r="Z30" i="1" s="1"/>
  <c r="Z38" i="1" s="1"/>
  <c r="Z47" i="1" s="1"/>
  <c r="Z107" i="1" s="1"/>
  <c r="Z109" i="1" s="1"/>
  <c r="AA27" i="1"/>
  <c r="AA30" i="1" s="1"/>
  <c r="AA109" i="1"/>
  <c r="AA112" i="1" s="1"/>
  <c r="AA113" i="1" s="1"/>
  <c r="T27" i="1"/>
  <c r="T30" i="1" s="1"/>
  <c r="G56" i="15"/>
  <c r="G70" i="15" s="1"/>
  <c r="I70" i="15" s="1"/>
  <c r="E64" i="2"/>
  <c r="S13" i="1"/>
  <c r="S12" i="1"/>
  <c r="G60" i="2"/>
  <c r="E59" i="2"/>
  <c r="G59" i="2" s="1"/>
  <c r="S104" i="1"/>
  <c r="S57" i="1"/>
  <c r="X47" i="1" l="1"/>
  <c r="X107" i="1" s="1"/>
  <c r="X109" i="1" s="1"/>
  <c r="V30" i="1"/>
  <c r="V47" i="1" s="1"/>
  <c r="AJ111" i="1"/>
  <c r="V107" i="1"/>
  <c r="AJ114" i="1" s="1"/>
  <c r="AJ115" i="1" s="1"/>
  <c r="AJ116" i="1" s="1"/>
  <c r="S14" i="1"/>
  <c r="T47" i="1"/>
  <c r="B53" i="13"/>
  <c r="B75" i="13" s="1"/>
  <c r="B89" i="13" s="1"/>
  <c r="AF103" i="1"/>
  <c r="AE116" i="1" s="1"/>
  <c r="AE117" i="1" s="1"/>
  <c r="AF111" i="1"/>
  <c r="S21" i="1"/>
  <c r="S106" i="1" s="1"/>
  <c r="R7" i="1"/>
  <c r="AI107" i="1" l="1"/>
  <c r="AK107" i="1" s="1"/>
  <c r="V109" i="1"/>
  <c r="V110" i="1" s="1"/>
  <c r="AJ118" i="1"/>
  <c r="AJ117" i="1"/>
  <c r="AF112" i="1"/>
  <c r="AE114" i="1" s="1"/>
  <c r="AE118" i="1" s="1"/>
  <c r="AJ119" i="1" l="1"/>
  <c r="R38" i="1"/>
  <c r="R47" i="1" s="1"/>
  <c r="R95" i="1"/>
  <c r="R88" i="1"/>
  <c r="R83" i="1"/>
  <c r="R81" i="1"/>
  <c r="R65" i="1"/>
  <c r="R70" i="1" s="1"/>
  <c r="R57" i="1"/>
  <c r="R20" i="1"/>
  <c r="R21" i="1" s="1"/>
  <c r="R106" i="1" s="1"/>
  <c r="R91" i="1" l="1"/>
  <c r="Q83" i="1"/>
  <c r="Q88" i="1" l="1"/>
  <c r="T107" i="1" l="1"/>
  <c r="T109" i="1" s="1"/>
  <c r="G4" i="7"/>
  <c r="G3" i="7"/>
  <c r="Q84" i="1"/>
  <c r="G5" i="7" l="1"/>
  <c r="R107" i="1"/>
  <c r="R109" i="1" s="1"/>
  <c r="Q74" i="1"/>
  <c r="Q81" i="1"/>
  <c r="Q20" i="1" l="1"/>
  <c r="Q65" i="1" l="1"/>
  <c r="Q70" i="1" s="1"/>
  <c r="Q91" i="1"/>
  <c r="Q95" i="1"/>
  <c r="Q32" i="1"/>
  <c r="Q21" i="1"/>
  <c r="Q106" i="1" s="1"/>
  <c r="Q34" i="1" l="1"/>
  <c r="Q28" i="1"/>
  <c r="Q26" i="1"/>
  <c r="Q27" i="1" l="1"/>
  <c r="Q30" i="1" s="1"/>
  <c r="Q38" i="1" s="1"/>
  <c r="Q47" i="1" s="1"/>
  <c r="Q107" i="1" s="1"/>
  <c r="Q109" i="1" s="1"/>
  <c r="P57" i="1" l="1"/>
  <c r="H19" i="2"/>
  <c r="P21" i="1"/>
  <c r="P106" i="1" s="1"/>
  <c r="N87" i="1" l="1"/>
  <c r="N74" i="1"/>
  <c r="O38" i="1" l="1"/>
  <c r="O47" i="1" s="1"/>
  <c r="O106" i="1"/>
  <c r="O104" i="1"/>
  <c r="O95" i="1"/>
  <c r="O67" i="1"/>
  <c r="O65" i="1"/>
  <c r="O51" i="1"/>
  <c r="O57" i="1" s="1"/>
  <c r="O70" i="1" l="1"/>
  <c r="O107" i="1" s="1"/>
  <c r="O109" i="1" s="1"/>
  <c r="O84" i="1"/>
  <c r="N81" i="1" l="1"/>
  <c r="N86" i="1"/>
  <c r="N84" i="1"/>
  <c r="N88" i="1"/>
  <c r="N32" i="1" l="1"/>
  <c r="N67" i="1" l="1"/>
  <c r="F7" i="12" l="1"/>
  <c r="E7" i="12"/>
  <c r="D7" i="12"/>
  <c r="C7" i="12"/>
  <c r="B7" i="12"/>
  <c r="N7" i="1"/>
  <c r="N91" i="1"/>
  <c r="G7" i="12" l="1"/>
  <c r="G8" i="12" s="1"/>
  <c r="N95" i="1"/>
  <c r="M95" i="1"/>
  <c r="N65" i="1"/>
  <c r="N70" i="1" s="1"/>
  <c r="N57" i="1"/>
  <c r="N21" i="1"/>
  <c r="N106" i="1" s="1"/>
  <c r="N104" i="1" l="1"/>
  <c r="M38" i="1"/>
  <c r="M47" i="1" s="1"/>
  <c r="M15" i="1"/>
  <c r="M14" i="1"/>
  <c r="M7" i="1"/>
  <c r="M16" i="1" l="1"/>
  <c r="M21" i="1" s="1"/>
  <c r="M106" i="1" s="1"/>
  <c r="N34" i="1"/>
  <c r="N26" i="1"/>
  <c r="M65" i="1"/>
  <c r="M70" i="1" s="1"/>
  <c r="M107" i="1" s="1"/>
  <c r="M109" i="1" l="1"/>
  <c r="N28" i="1"/>
  <c r="J62" i="2"/>
  <c r="J63" i="2" s="1"/>
  <c r="N27" i="1" l="1"/>
  <c r="N30" i="1" s="1"/>
  <c r="N47" i="1" l="1"/>
  <c r="N107" i="1" s="1"/>
  <c r="N109" i="1" s="1"/>
  <c r="L54" i="1"/>
  <c r="L104" i="1" l="1"/>
  <c r="L70" i="1"/>
  <c r="L57" i="1"/>
  <c r="L15" i="1"/>
  <c r="L14" i="1"/>
  <c r="L7" i="1"/>
  <c r="L16" i="1" l="1"/>
  <c r="L21" i="1" s="1"/>
  <c r="L106" i="1" s="1"/>
  <c r="E3" i="3"/>
  <c r="K96" i="1" l="1"/>
  <c r="K20" i="1" l="1"/>
  <c r="K21" i="1" s="1"/>
  <c r="K30" i="1" l="1"/>
  <c r="K33" i="1" s="1"/>
  <c r="K95" i="1"/>
  <c r="K84" i="1"/>
  <c r="K91" i="1" s="1"/>
  <c r="K65" i="1"/>
  <c r="K70" i="1" s="1"/>
  <c r="K57" i="1"/>
  <c r="K106" i="1"/>
  <c r="K7" i="1"/>
  <c r="K38" i="1" l="1"/>
  <c r="K47" i="1" s="1"/>
  <c r="K107" i="1" s="1"/>
  <c r="K109" i="1" s="1"/>
  <c r="K110" i="1" s="1"/>
  <c r="J84" i="1" l="1"/>
  <c r="J21" i="1" l="1"/>
  <c r="J95" i="1" l="1"/>
  <c r="I65" i="2" l="1"/>
  <c r="I14" i="2"/>
  <c r="J106" i="1" l="1"/>
  <c r="J57" i="1"/>
  <c r="J7" i="1"/>
  <c r="J65" i="1" l="1"/>
  <c r="J70" i="1" l="1"/>
  <c r="J30" i="1" l="1"/>
  <c r="J33" i="1" s="1"/>
  <c r="J38" i="1" s="1"/>
  <c r="J47" i="1" s="1"/>
  <c r="J107" i="1" s="1"/>
  <c r="J109" i="1" s="1"/>
  <c r="J110" i="1" s="1"/>
  <c r="I57" i="1" l="1"/>
  <c r="I70" i="1" l="1"/>
  <c r="I15" i="1"/>
  <c r="I14" i="1"/>
  <c r="I21" i="1" l="1"/>
  <c r="I106" i="1" s="1"/>
  <c r="H39" i="1" l="1"/>
  <c r="H32" i="1"/>
  <c r="H28" i="1"/>
  <c r="H27" i="1"/>
  <c r="H26" i="1"/>
  <c r="H57" i="1"/>
  <c r="H84" i="1" l="1"/>
  <c r="H53" i="1" l="1"/>
  <c r="H55" i="1"/>
  <c r="H95" i="1"/>
  <c r="H101" i="1" s="1"/>
  <c r="H91" i="1"/>
  <c r="H74" i="1" l="1"/>
  <c r="H21" i="1" l="1"/>
  <c r="H106" i="1" s="1"/>
  <c r="H30" i="1" l="1"/>
  <c r="H33" i="1" s="1"/>
  <c r="H65" i="1" l="1"/>
  <c r="H70" i="1" s="1"/>
  <c r="H46" i="1"/>
  <c r="H104" i="1" l="1"/>
  <c r="G57" i="1" l="1"/>
  <c r="G15" i="1"/>
  <c r="G14" i="1"/>
  <c r="F74" i="1"/>
  <c r="F41" i="3"/>
  <c r="G41" i="3" s="1"/>
  <c r="F40" i="3"/>
  <c r="G40" i="3" s="1"/>
  <c r="G46" i="3" s="1"/>
  <c r="E28" i="3"/>
  <c r="E27" i="3"/>
  <c r="F26" i="3"/>
  <c r="E24" i="3"/>
  <c r="E23" i="3"/>
  <c r="F22" i="3"/>
  <c r="E20" i="3"/>
  <c r="F20" i="3" s="1"/>
  <c r="E19" i="3"/>
  <c r="F18" i="3"/>
  <c r="E16" i="3"/>
  <c r="F16" i="3" s="1"/>
  <c r="G16" i="3" s="1"/>
  <c r="E15" i="3"/>
  <c r="E10" i="3"/>
  <c r="E9" i="3"/>
  <c r="E4" i="3"/>
  <c r="F3" i="3"/>
  <c r="F64" i="2"/>
  <c r="G64" i="2" s="1"/>
  <c r="E63" i="2"/>
  <c r="E61" i="2"/>
  <c r="E47" i="2"/>
  <c r="E49" i="2" s="1"/>
  <c r="E34" i="2"/>
  <c r="F34" i="2" s="1"/>
  <c r="G34" i="2" s="1"/>
  <c r="E33" i="2"/>
  <c r="F33" i="2" s="1"/>
  <c r="G33" i="2" s="1"/>
  <c r="F32" i="2"/>
  <c r="E30" i="2"/>
  <c r="E29" i="2"/>
  <c r="E28" i="2"/>
  <c r="F27" i="2"/>
  <c r="E25" i="2"/>
  <c r="F25" i="2" s="1"/>
  <c r="G25" i="2" s="1"/>
  <c r="E24" i="2"/>
  <c r="F23" i="2"/>
  <c r="E21" i="2"/>
  <c r="E20" i="2"/>
  <c r="F20" i="2" s="1"/>
  <c r="G20" i="2" s="1"/>
  <c r="E19" i="2"/>
  <c r="F19" i="2" s="1"/>
  <c r="E13" i="2"/>
  <c r="E10" i="2"/>
  <c r="E5" i="2"/>
  <c r="F5" i="2" s="1"/>
  <c r="G5" i="2" s="1"/>
  <c r="E4" i="2"/>
  <c r="F4" i="2" s="1"/>
  <c r="G4" i="2" s="1"/>
  <c r="E3" i="2"/>
  <c r="F3" i="2" s="1"/>
  <c r="C104" i="1"/>
  <c r="D104" i="1" s="1"/>
  <c r="F95" i="1"/>
  <c r="F101" i="1" s="1"/>
  <c r="D95" i="1"/>
  <c r="C95" i="1"/>
  <c r="B95" i="1"/>
  <c r="F91" i="1"/>
  <c r="E91" i="1"/>
  <c r="C91" i="1"/>
  <c r="B89" i="1"/>
  <c r="B88" i="1"/>
  <c r="D84" i="1"/>
  <c r="D91" i="1" s="1"/>
  <c r="B84" i="1"/>
  <c r="B82" i="1"/>
  <c r="B81" i="1"/>
  <c r="B74" i="1"/>
  <c r="F70" i="1"/>
  <c r="E70" i="1"/>
  <c r="D70" i="1"/>
  <c r="B67" i="1"/>
  <c r="B65" i="1"/>
  <c r="B64" i="1"/>
  <c r="B63" i="1"/>
  <c r="B61" i="1"/>
  <c r="F57" i="1"/>
  <c r="E57" i="1"/>
  <c r="D57" i="1"/>
  <c r="B57" i="1"/>
  <c r="D47" i="1"/>
  <c r="C38" i="1"/>
  <c r="C47" i="1" s="1"/>
  <c r="C34" i="1"/>
  <c r="D32" i="1"/>
  <c r="C32" i="1"/>
  <c r="F30" i="1"/>
  <c r="F33" i="1" s="1"/>
  <c r="F38" i="1" s="1"/>
  <c r="F47" i="1" s="1"/>
  <c r="E30" i="1"/>
  <c r="E33" i="1" s="1"/>
  <c r="E38" i="1" s="1"/>
  <c r="E47" i="1" s="1"/>
  <c r="B30" i="1"/>
  <c r="B38" i="1" s="1"/>
  <c r="B47" i="1" s="1"/>
  <c r="D28" i="1"/>
  <c r="C28" i="1"/>
  <c r="D27" i="1"/>
  <c r="C27" i="1"/>
  <c r="D26" i="1"/>
  <c r="C26" i="1"/>
  <c r="F20" i="1"/>
  <c r="F21" i="1" s="1"/>
  <c r="F106" i="1" s="1"/>
  <c r="D18" i="1"/>
  <c r="E15" i="1"/>
  <c r="D15" i="1"/>
  <c r="C15" i="1"/>
  <c r="E14" i="1"/>
  <c r="D14" i="1"/>
  <c r="C14" i="1"/>
  <c r="B14" i="1"/>
  <c r="B21" i="1" s="1"/>
  <c r="B106" i="1" s="1"/>
  <c r="T32" i="1" l="1"/>
  <c r="S32" i="1"/>
  <c r="P32" i="1"/>
  <c r="L32" i="1"/>
  <c r="G32" i="1"/>
  <c r="G21" i="1"/>
  <c r="G106" i="1" s="1"/>
  <c r="E29" i="3"/>
  <c r="F29" i="3" s="1"/>
  <c r="E21" i="3"/>
  <c r="F21" i="3" s="1"/>
  <c r="E12" i="3"/>
  <c r="F9" i="3"/>
  <c r="G9" i="3" s="1"/>
  <c r="E6" i="3"/>
  <c r="E65" i="2"/>
  <c r="E25" i="3"/>
  <c r="F25" i="3" s="1"/>
  <c r="E22" i="2"/>
  <c r="E35" i="2"/>
  <c r="F35" i="2"/>
  <c r="E31" i="2"/>
  <c r="F28" i="2"/>
  <c r="G28" i="2" s="1"/>
  <c r="E26" i="2"/>
  <c r="F24" i="3"/>
  <c r="G24" i="3" s="1"/>
  <c r="F23" i="3"/>
  <c r="G23" i="3" s="1"/>
  <c r="E17" i="3"/>
  <c r="F17" i="3" s="1"/>
  <c r="F15" i="3"/>
  <c r="G15" i="3" s="1"/>
  <c r="G17" i="3" s="1"/>
  <c r="E16" i="2"/>
  <c r="F10" i="2"/>
  <c r="G10" i="2" s="1"/>
  <c r="F4" i="3"/>
  <c r="G4" i="3" s="1"/>
  <c r="G3" i="3"/>
  <c r="G35" i="2"/>
  <c r="E7" i="2"/>
  <c r="F7" i="2"/>
  <c r="C21" i="1"/>
  <c r="C106" i="1" s="1"/>
  <c r="D30" i="1"/>
  <c r="D33" i="1" s="1"/>
  <c r="E107" i="1"/>
  <c r="E21" i="1"/>
  <c r="E106" i="1" s="1"/>
  <c r="D21" i="1"/>
  <c r="D106" i="1" s="1"/>
  <c r="C107" i="1"/>
  <c r="B91" i="1"/>
  <c r="B70" i="1"/>
  <c r="C30" i="1"/>
  <c r="C33" i="1" s="1"/>
  <c r="D107" i="1"/>
  <c r="F28" i="3"/>
  <c r="G28" i="3" s="1"/>
  <c r="F39" i="3"/>
  <c r="G39" i="3" s="1"/>
  <c r="F10" i="3"/>
  <c r="F19" i="3"/>
  <c r="G19" i="3" s="1"/>
  <c r="G20" i="3"/>
  <c r="F27" i="3"/>
  <c r="G27" i="3" s="1"/>
  <c r="F38" i="3"/>
  <c r="I46" i="3" s="1"/>
  <c r="F42" i="3"/>
  <c r="G42" i="3" s="1"/>
  <c r="F24" i="2"/>
  <c r="G24" i="2" s="1"/>
  <c r="G26" i="2" s="1"/>
  <c r="F30" i="2"/>
  <c r="G30" i="2" s="1"/>
  <c r="F61" i="2"/>
  <c r="G61" i="2" s="1"/>
  <c r="F63" i="2"/>
  <c r="G63" i="2" s="1"/>
  <c r="F13" i="2"/>
  <c r="F21" i="2"/>
  <c r="F22" i="2" s="1"/>
  <c r="F29" i="2"/>
  <c r="G29" i="2" s="1"/>
  <c r="G3" i="2"/>
  <c r="G19" i="2"/>
  <c r="F107" i="1"/>
  <c r="F109" i="1" s="1"/>
  <c r="F12" i="3" l="1"/>
  <c r="G31" i="2"/>
  <c r="C109" i="1"/>
  <c r="C115" i="1" s="1"/>
  <c r="C116" i="1" s="1"/>
  <c r="F16" i="2"/>
  <c r="E31" i="3"/>
  <c r="E34" i="3" s="1"/>
  <c r="F31" i="3"/>
  <c r="G29" i="3"/>
  <c r="E109" i="1"/>
  <c r="F6" i="3"/>
  <c r="G6" i="3" s="1"/>
  <c r="E37" i="2"/>
  <c r="E54" i="2" s="1"/>
  <c r="E67" i="2" s="1"/>
  <c r="G25" i="3"/>
  <c r="G21" i="3"/>
  <c r="B107" i="1"/>
  <c r="B109" i="1" s="1"/>
  <c r="D109" i="1"/>
  <c r="G10" i="3"/>
  <c r="G12" i="3" s="1"/>
  <c r="G7" i="2"/>
  <c r="G65" i="2"/>
  <c r="S34" i="1" s="1"/>
  <c r="F26" i="2"/>
  <c r="F31" i="2"/>
  <c r="G21" i="2"/>
  <c r="G22" i="2" s="1"/>
  <c r="F65" i="2"/>
  <c r="G13" i="2"/>
  <c r="G16" i="2" s="1"/>
  <c r="S28" i="1" l="1"/>
  <c r="S26" i="1"/>
  <c r="P28" i="1"/>
  <c r="P34" i="1"/>
  <c r="P26" i="1"/>
  <c r="L34" i="1"/>
  <c r="H65" i="2"/>
  <c r="L26" i="1"/>
  <c r="L28" i="1"/>
  <c r="F34" i="3"/>
  <c r="G34" i="1"/>
  <c r="G26" i="1"/>
  <c r="G37" i="2"/>
  <c r="G28" i="1"/>
  <c r="G31" i="3"/>
  <c r="I31" i="3" s="1"/>
  <c r="I49" i="3" s="1"/>
  <c r="F37" i="2"/>
  <c r="F54" i="2" s="1"/>
  <c r="F67" i="2" s="1"/>
  <c r="S27" i="1" l="1"/>
  <c r="S30" i="1" s="1"/>
  <c r="S38" i="1" s="1"/>
  <c r="S47" i="1" s="1"/>
  <c r="S107" i="1" s="1"/>
  <c r="S109" i="1" s="1"/>
  <c r="P27" i="1"/>
  <c r="P30" i="1" s="1"/>
  <c r="P38" i="1" s="1"/>
  <c r="P47" i="1" s="1"/>
  <c r="P107" i="1" s="1"/>
  <c r="P109" i="1" s="1"/>
  <c r="I37" i="2"/>
  <c r="I67" i="2" s="1"/>
  <c r="L27" i="1"/>
  <c r="L30" i="1" s="1"/>
  <c r="L33" i="1" s="1"/>
  <c r="L38" i="1" s="1"/>
  <c r="L47" i="1" s="1"/>
  <c r="L107" i="1" s="1"/>
  <c r="L109" i="1" s="1"/>
  <c r="G54" i="2"/>
  <c r="G67" i="2" s="1"/>
  <c r="I30" i="1"/>
  <c r="I33" i="1" s="1"/>
  <c r="I38" i="1" s="1"/>
  <c r="I47" i="1" s="1"/>
  <c r="I107" i="1" s="1"/>
  <c r="I109" i="1" s="1"/>
  <c r="I110" i="1" s="1"/>
  <c r="G27" i="1"/>
  <c r="G30" i="1" s="1"/>
  <c r="G33" i="1" s="1"/>
  <c r="G34" i="3"/>
  <c r="G49" i="3" s="1"/>
  <c r="G38" i="1" l="1"/>
  <c r="G47" i="1" s="1"/>
  <c r="G107" i="1" s="1"/>
  <c r="G109" i="1" s="1"/>
  <c r="H38" i="1"/>
  <c r="H47" i="1" l="1"/>
  <c r="H107" i="1" s="1"/>
  <c r="H109" i="1" s="1"/>
</calcChain>
</file>

<file path=xl/sharedStrings.xml><?xml version="1.0" encoding="utf-8"?>
<sst xmlns="http://schemas.openxmlformats.org/spreadsheetml/2006/main" count="635" uniqueCount="422">
  <si>
    <t>2009 Combined Actual</t>
  </si>
  <si>
    <t>2010 Pueblo Budget</t>
  </si>
  <si>
    <t>2010 Actual</t>
  </si>
  <si>
    <t>2011 Budget</t>
  </si>
  <si>
    <t>2011 Actual</t>
  </si>
  <si>
    <t>ASSUMPTIONS</t>
  </si>
  <si>
    <t>Management Registrations**</t>
  </si>
  <si>
    <t>Maintenance Registrations</t>
  </si>
  <si>
    <t>Management Registration Fee</t>
  </si>
  <si>
    <t>Maintenance Registration Fee</t>
  </si>
  <si>
    <t>REVENUE</t>
  </si>
  <si>
    <t>Management Registration</t>
  </si>
  <si>
    <t>Maintenance Registration</t>
  </si>
  <si>
    <t>Vendors, Sponsors, Ads</t>
  </si>
  <si>
    <t>TOTAL REVENUE</t>
  </si>
  <si>
    <t>EXPENSES</t>
  </si>
  <si>
    <t>FOOD/ ENTERTAINMENT</t>
  </si>
  <si>
    <t>Breakfasts</t>
  </si>
  <si>
    <t xml:space="preserve">Breaks </t>
  </si>
  <si>
    <t xml:space="preserve">Lunches </t>
  </si>
  <si>
    <t>Sponsor Reception</t>
  </si>
  <si>
    <t>Sub-total food</t>
  </si>
  <si>
    <t>Hotel Food Tax &amp; Gratutity</t>
  </si>
  <si>
    <t>Maintenance Vendor Reception</t>
  </si>
  <si>
    <t xml:space="preserve">     Sub Total Meals and Reception</t>
  </si>
  <si>
    <t>Banquet (food)</t>
  </si>
  <si>
    <t>Banquet Gratuity</t>
  </si>
  <si>
    <t xml:space="preserve">     Total Food and Gratuity</t>
  </si>
  <si>
    <t>Banquet Shuttle/ Boats</t>
  </si>
  <si>
    <t>Entertainment</t>
  </si>
  <si>
    <t>TOTAL FOOD/ENTERTAINMENT</t>
  </si>
  <si>
    <t>HOTEL/ CC</t>
  </si>
  <si>
    <t>A/V Rental</t>
  </si>
  <si>
    <t>Easels</t>
  </si>
  <si>
    <t>Meeting Room Rental</t>
  </si>
  <si>
    <t>Vendor Tables</t>
  </si>
  <si>
    <t>Misc (copies)</t>
  </si>
  <si>
    <t>TOTAL HOTEL</t>
  </si>
  <si>
    <t>ADVERTISEMENT</t>
  </si>
  <si>
    <t>Postcard mailing</t>
  </si>
  <si>
    <t>Logo Development</t>
  </si>
  <si>
    <t>T-Shirts</t>
  </si>
  <si>
    <t>Registration brochure - print</t>
  </si>
  <si>
    <t>Registration brochure-design</t>
  </si>
  <si>
    <t>Registration brochure-mailing</t>
  </si>
  <si>
    <t>Misc. Postage</t>
  </si>
  <si>
    <t>Vendor mailing, postage, misc. expenses</t>
  </si>
  <si>
    <t>TOTAL AD</t>
  </si>
  <si>
    <t>SPEAKER BUDGET &amp; TRAVEL</t>
  </si>
  <si>
    <t>TOTAL SPEAKER EXPENSE</t>
  </si>
  <si>
    <t>MATERIALS</t>
  </si>
  <si>
    <t>Name Badge Holders and Imprinted Paper</t>
  </si>
  <si>
    <t>Bags</t>
  </si>
  <si>
    <t>Notepads</t>
  </si>
  <si>
    <t>Ribbons</t>
  </si>
  <si>
    <t>Awards</t>
  </si>
  <si>
    <t>Misc (Awards Presentation)</t>
  </si>
  <si>
    <t>Copies/ Signs/ Banners</t>
  </si>
  <si>
    <t>Training Manuals</t>
  </si>
  <si>
    <t>Shipping</t>
  </si>
  <si>
    <t>Misc. Supplies</t>
  </si>
  <si>
    <t>Vendor prizes</t>
  </si>
  <si>
    <t>Gifts for key committee members</t>
  </si>
  <si>
    <t>TOTAL MATERIALS</t>
  </si>
  <si>
    <t>ADMINISTRATION</t>
  </si>
  <si>
    <t>Teleconference meetings</t>
  </si>
  <si>
    <t>Committee Meeting Lunches</t>
  </si>
  <si>
    <t>Bank Charges/ Cvent Fees</t>
  </si>
  <si>
    <t>TOTAL SCHOLARSHIPS</t>
  </si>
  <si>
    <t>PAID COORDINATOR HOURS</t>
  </si>
  <si>
    <t>TOTAL EXPENSES</t>
  </si>
  <si>
    <t>PROFIT/ LOSS</t>
  </si>
  <si>
    <t>Adjustment for CoNAHRO Breakeven</t>
  </si>
  <si>
    <t>Added to Sponsor Income= total sponsor income</t>
  </si>
  <si>
    <t/>
  </si>
  <si>
    <t>MANAGEMENT CONFERENCE</t>
  </si>
  <si>
    <t>Menu-</t>
  </si>
  <si>
    <t>Quanity</t>
  </si>
  <si>
    <t>Cost</t>
  </si>
  <si>
    <t>Price</t>
  </si>
  <si>
    <t>Gratuity</t>
  </si>
  <si>
    <t>Inclusive</t>
  </si>
  <si>
    <t>BREAKFASTS**</t>
  </si>
  <si>
    <t>Total Inclusive</t>
  </si>
  <si>
    <t>Wednesday Breakfast</t>
  </si>
  <si>
    <t>Thursday Breakfast</t>
  </si>
  <si>
    <t>Friday Breakfast</t>
  </si>
  <si>
    <t>**Leave Bfast out until none left</t>
  </si>
  <si>
    <t>TOTAL BREAKFASTS</t>
  </si>
  <si>
    <t>LUNCHES</t>
  </si>
  <si>
    <t>Wednesday Lunch</t>
  </si>
  <si>
    <t xml:space="preserve">     Sub Total</t>
  </si>
  <si>
    <t>Thursday Lunch</t>
  </si>
  <si>
    <t>TOTAL LUNCHES</t>
  </si>
  <si>
    <t xml:space="preserve">BREAKS </t>
  </si>
  <si>
    <t>not to exceed ordered amount unless approved by Dave Martens</t>
  </si>
  <si>
    <t>Wednesday a.m. Break-10:30-10:45</t>
  </si>
  <si>
    <t>Reg Coffee (by gallon)</t>
  </si>
  <si>
    <t xml:space="preserve">Decaf </t>
  </si>
  <si>
    <t>Assorted Teas</t>
  </si>
  <si>
    <t>16 cups per gallon</t>
  </si>
  <si>
    <t>Wednesday p.m. Break 3:30-3:45</t>
  </si>
  <si>
    <t>Assorted Sodas</t>
  </si>
  <si>
    <t xml:space="preserve">     Total Wed Breaks</t>
  </si>
  <si>
    <t>Assorted Waters</t>
  </si>
  <si>
    <t>Thursday a.m. Break 10:30-10:45</t>
  </si>
  <si>
    <t>Reg Coffee</t>
  </si>
  <si>
    <t xml:space="preserve">Assorted Teas </t>
  </si>
  <si>
    <t>Thursday p.m. Break 3:30-3:45</t>
  </si>
  <si>
    <t xml:space="preserve">     Total Thurs Breaks</t>
  </si>
  <si>
    <t>TOTAL BREAKS</t>
  </si>
  <si>
    <t>WEDNESDAY RECEPTION</t>
  </si>
  <si>
    <t>Inclusive Price</t>
  </si>
  <si>
    <t>(Pre-Assembly Area)</t>
  </si>
  <si>
    <t>CoNAHRO to pay entertainment</t>
  </si>
  <si>
    <t>SUB-TOTAL RECEPTION</t>
  </si>
  <si>
    <t>Cash Bar set in Central Location</t>
  </si>
  <si>
    <t>TOTAL RECEPTION</t>
  </si>
  <si>
    <t>We are tax exempt and should not be assesed tax</t>
  </si>
  <si>
    <t xml:space="preserve">GRAND TOTAL MANAGEMENT </t>
  </si>
  <si>
    <t>THURSDAY BANQUET</t>
  </si>
  <si>
    <t>Cash Bar Set for Group in Central Location</t>
  </si>
  <si>
    <t>Drink Tickets</t>
  </si>
  <si>
    <t>Keg of Beer</t>
  </si>
  <si>
    <t>TOTAL BANQUET</t>
  </si>
  <si>
    <t xml:space="preserve">GRAND TOTAL </t>
  </si>
  <si>
    <t>MAINTNENANCE CONFERENCE</t>
  </si>
  <si>
    <t xml:space="preserve">Menu- </t>
  </si>
  <si>
    <t>Monday Breakfast</t>
  </si>
  <si>
    <t>Tuesday Breakfast</t>
  </si>
  <si>
    <t>Monday Lunch</t>
  </si>
  <si>
    <t>Tuesday Lunch</t>
  </si>
  <si>
    <t>Monday a.m. Break-10:15-10:30</t>
  </si>
  <si>
    <t>cups / gallon</t>
  </si>
  <si>
    <t>cups</t>
  </si>
  <si>
    <t>Monday p.m. Break- 2:30- 2:45</t>
  </si>
  <si>
    <t>Tuesday a.m. Break 10:15-10:30</t>
  </si>
  <si>
    <t>Tuesday p.m. Break- 2:30- 2:45</t>
  </si>
  <si>
    <t xml:space="preserve">SUB TOTAL MAINTENANCE </t>
  </si>
  <si>
    <t>RECEPTION</t>
  </si>
  <si>
    <t>WHAT</t>
  </si>
  <si>
    <t>QTY</t>
  </si>
  <si>
    <t>COST</t>
  </si>
  <si>
    <t>GRATUITY</t>
  </si>
  <si>
    <t>TOTAL</t>
  </si>
  <si>
    <t>SUB TOTAL MAINTENANCE RECEPTION</t>
  </si>
  <si>
    <t xml:space="preserve">GRAND TOTAL MAINTENANCE </t>
  </si>
  <si>
    <t>2012 Budget</t>
  </si>
  <si>
    <t>2012 Actual</t>
  </si>
  <si>
    <t>Pens</t>
  </si>
  <si>
    <t>Banquet Materials &amp; Room</t>
  </si>
  <si>
    <t>Tour Transportation/ Expenses</t>
  </si>
  <si>
    <t>Golf Outing</t>
  </si>
  <si>
    <t>2013 Budget</t>
  </si>
  <si>
    <t>182 plus 13</t>
  </si>
  <si>
    <t>97 plus 3</t>
  </si>
  <si>
    <t>2013 Actual</t>
  </si>
  <si>
    <t>Per person food cost</t>
  </si>
  <si>
    <t xml:space="preserve">     Total Registration</t>
  </si>
  <si>
    <t>2013 Adj Budget</t>
  </si>
  <si>
    <t>2014 Budget</t>
  </si>
  <si>
    <t>n/a</t>
  </si>
  <si>
    <t>QTY @ 175</t>
  </si>
  <si>
    <t>Room Rental</t>
  </si>
  <si>
    <t>Total Banq Budget</t>
  </si>
  <si>
    <t>2014 Revised</t>
  </si>
  <si>
    <t>2014 Actual</t>
  </si>
  <si>
    <t>Banquet Room Rental</t>
  </si>
  <si>
    <t>Commissioner Training</t>
  </si>
  <si>
    <t>Hotel Room Pickup</t>
  </si>
  <si>
    <t>comps=</t>
  </si>
  <si>
    <t>Ttl Rm Nites</t>
  </si>
  <si>
    <t>Winery Tour</t>
  </si>
  <si>
    <t>2014 TRCC Bill</t>
  </si>
  <si>
    <t>Banquet Keg and Drink Tickets</t>
  </si>
  <si>
    <t>2015 Budget</t>
  </si>
  <si>
    <t>2015 Actual</t>
  </si>
  <si>
    <t>CHFA to pay for and order food. Contact is Brian Miller</t>
  </si>
  <si>
    <t>Conference program (printing)</t>
  </si>
  <si>
    <t>Banquet/ Other Transportation/ Tour</t>
  </si>
  <si>
    <t>Speakers</t>
  </si>
  <si>
    <t>Fee</t>
  </si>
  <si>
    <t>Travel</t>
  </si>
  <si>
    <t>Total</t>
  </si>
  <si>
    <t>Audio Visual and Room</t>
  </si>
  <si>
    <t>AV</t>
  </si>
  <si>
    <t>Tables</t>
  </si>
  <si>
    <t>Mon</t>
  </si>
  <si>
    <t>Tues</t>
  </si>
  <si>
    <t>Wed</t>
  </si>
  <si>
    <t>Thur</t>
  </si>
  <si>
    <t>Fri</t>
  </si>
  <si>
    <t>Audio Visual</t>
  </si>
  <si>
    <t>Food</t>
  </si>
  <si>
    <t>SUB TOTAL</t>
  </si>
  <si>
    <t>2015 Final</t>
  </si>
  <si>
    <t xml:space="preserve">CVENT contract amount </t>
  </si>
  <si>
    <t>Total contract</t>
  </si>
  <si>
    <t>Total Merchant Account</t>
  </si>
  <si>
    <t>Total CVENT</t>
  </si>
  <si>
    <t>2016 Budget</t>
  </si>
  <si>
    <t>2016 Actual</t>
  </si>
  <si>
    <t>Fajita Buffet</t>
  </si>
  <si>
    <t>Bfast Buffet #2 (bagels/ potatoes/ bacon)</t>
  </si>
  <si>
    <t>Bfast Buffet #2 (breads/ hash browns/ sausage)</t>
  </si>
  <si>
    <t>Bfast Buffet #2 (bagels/ hashbrowns/ bacon)</t>
  </si>
  <si>
    <t xml:space="preserve">     Add 25 servings of Oatmeal to Friday</t>
  </si>
  <si>
    <t>BBQ Buffet</t>
  </si>
  <si>
    <t>Monday at 4:30pm in Ballroom</t>
  </si>
  <si>
    <t xml:space="preserve">Cash Bar </t>
  </si>
  <si>
    <t>Plated Lunch #2</t>
  </si>
  <si>
    <t>Italian Buffet (meat Lasagna)</t>
  </si>
  <si>
    <t>Chef's Choice- Total Budget is $2,000 inclusive</t>
  </si>
  <si>
    <t>Will also order keg of beer</t>
  </si>
  <si>
    <t>Participants</t>
  </si>
  <si>
    <t>Additional CVENT Registrations</t>
  </si>
  <si>
    <t>Misc Supplies</t>
  </si>
  <si>
    <t>event signs</t>
  </si>
  <si>
    <t>Monday a.m. Break-10:15-10:45</t>
  </si>
  <si>
    <t>Monday p.m. Break- 2:30- 3:00</t>
  </si>
  <si>
    <t>Tuesday a.m. Break 10:15-10:45</t>
  </si>
  <si>
    <t>Tuesday p.m. Break- 2:30- 3:00</t>
  </si>
  <si>
    <t>Wednesday p.m. Break 3:15-3:45</t>
  </si>
  <si>
    <t>Thursday a.m. Break 10:15-10:45</t>
  </si>
  <si>
    <t>Thursday p.m. Break 3:15-3:45</t>
  </si>
  <si>
    <t>8days/wk</t>
  </si>
  <si>
    <t>Golf</t>
  </si>
  <si>
    <t>paypal</t>
  </si>
  <si>
    <t>Wednesday a.m. Break-10:15-10:45</t>
  </si>
  <si>
    <t>Total Amount</t>
  </si>
  <si>
    <t>Helium</t>
  </si>
  <si>
    <t>Electric</t>
  </si>
  <si>
    <t>Room Comps</t>
  </si>
  <si>
    <t>Room Tax</t>
  </si>
  <si>
    <t>Banquet Tax</t>
  </si>
  <si>
    <t>AV Tax</t>
  </si>
  <si>
    <t>Hotel Summary</t>
  </si>
  <si>
    <t>Difference</t>
  </si>
  <si>
    <t>Budget</t>
  </si>
  <si>
    <t>Actual</t>
  </si>
  <si>
    <t>Guarantee</t>
  </si>
  <si>
    <t xml:space="preserve">     Maint Monday</t>
  </si>
  <si>
    <t xml:space="preserve">     Maint Monday Rec and Breaks</t>
  </si>
  <si>
    <t xml:space="preserve">     Maint Reception</t>
  </si>
  <si>
    <t xml:space="preserve">     Bartender Monday</t>
  </si>
  <si>
    <t xml:space="preserve">     Monday Kegs</t>
  </si>
  <si>
    <t xml:space="preserve">     Wireless</t>
  </si>
  <si>
    <t xml:space="preserve">     Breakout Rooms</t>
  </si>
  <si>
    <t xml:space="preserve">     Easels</t>
  </si>
  <si>
    <t>SUB TOTAL AV MONDAY</t>
  </si>
  <si>
    <t xml:space="preserve">    Added room Blue Sky</t>
  </si>
  <si>
    <t xml:space="preserve">     Easel and wireless</t>
  </si>
  <si>
    <t>SUB TOTAL MONDAY</t>
  </si>
  <si>
    <t xml:space="preserve">     Maint Tues Breaks</t>
  </si>
  <si>
    <t xml:space="preserve">     Maint Monday Bfast/ Lunch</t>
  </si>
  <si>
    <t xml:space="preserve">     Maint Tues Bfast/ Lunch</t>
  </si>
  <si>
    <t xml:space="preserve">     Podium Mic GB</t>
  </si>
  <si>
    <t>SUB TOTAL TUESDAY</t>
  </si>
  <si>
    <t xml:space="preserve">     Mgmt Wed Bfast/ Lunch</t>
  </si>
  <si>
    <t xml:space="preserve">    Wed GB AV</t>
  </si>
  <si>
    <t xml:space="preserve">    Wed Easel and Wireless</t>
  </si>
  <si>
    <t xml:space="preserve">     Wed Breaks</t>
  </si>
  <si>
    <t xml:space="preserve">     Wed Rec AV</t>
  </si>
  <si>
    <t xml:space="preserve">     Wed AV BOs</t>
  </si>
  <si>
    <t>SUB TOTAL WEDNESDAY</t>
  </si>
  <si>
    <t xml:space="preserve">     Mgmt Thur Bfast/Lunch/Dinner</t>
  </si>
  <si>
    <t xml:space="preserve">     Banquet Drink Tickets</t>
  </si>
  <si>
    <t xml:space="preserve">     Banquet Keg</t>
  </si>
  <si>
    <t xml:space="preserve">     Th GB AV</t>
  </si>
  <si>
    <t xml:space="preserve">     Band Set up</t>
  </si>
  <si>
    <t xml:space="preserve">     Bartender Thur</t>
  </si>
  <si>
    <t xml:space="preserve">     Th Easel and Wireless</t>
  </si>
  <si>
    <t xml:space="preserve">     Th AV BOs</t>
  </si>
  <si>
    <t xml:space="preserve">     Th Breaks</t>
  </si>
  <si>
    <t>SUB TOTAL THURSDAY</t>
  </si>
  <si>
    <t xml:space="preserve">     Fri Bfast</t>
  </si>
  <si>
    <t xml:space="preserve">     Fr AV GB</t>
  </si>
  <si>
    <t xml:space="preserve">     Fr Easel and Wireless</t>
  </si>
  <si>
    <t>SUB TOTAL FRIDAY</t>
  </si>
  <si>
    <t>TOTAL AV</t>
  </si>
  <si>
    <t>TOTAL FOOD AND BEV</t>
  </si>
  <si>
    <t>Hotel Room Charges</t>
  </si>
  <si>
    <t>Due</t>
  </si>
  <si>
    <t>Total Room Comps</t>
  </si>
  <si>
    <t>total AV</t>
  </si>
  <si>
    <t>total F/B</t>
  </si>
  <si>
    <t>Room comps</t>
  </si>
  <si>
    <t>Final</t>
  </si>
  <si>
    <t>Hotel Room Comps</t>
  </si>
  <si>
    <t>2017 Budget</t>
  </si>
  <si>
    <t>Profit Share MPNAHRO/ CoNAHRO</t>
  </si>
  <si>
    <t>Hotel Room</t>
  </si>
  <si>
    <t>Confirmation #</t>
  </si>
  <si>
    <t>Tess Hembree</t>
  </si>
  <si>
    <t>Tiffany Manuel</t>
  </si>
  <si>
    <t>Dave Gasson</t>
  </si>
  <si>
    <t>Joe Gifford</t>
  </si>
  <si>
    <t>Sunny Shaw</t>
  </si>
  <si>
    <t>Ailrick Young</t>
  </si>
  <si>
    <t>Lori Rosendahl</t>
  </si>
  <si>
    <t>Dave Martens</t>
  </si>
  <si>
    <t>Arrive</t>
  </si>
  <si>
    <t>Depart</t>
  </si>
  <si>
    <t>Dianne Hovdestad</t>
  </si>
  <si>
    <t>yes</t>
  </si>
  <si>
    <t>Troy Gray (GE)</t>
  </si>
  <si>
    <t>Brian Mixon (GE)</t>
  </si>
  <si>
    <t>VIPs (Suites)</t>
  </si>
  <si>
    <t>current</t>
  </si>
  <si>
    <t>2017 Actual</t>
  </si>
  <si>
    <t>Banquet</t>
  </si>
  <si>
    <t>DJ</t>
  </si>
  <si>
    <t>Casino</t>
  </si>
  <si>
    <t>Track</t>
  </si>
  <si>
    <t>cups caf</t>
  </si>
  <si>
    <t>Copies</t>
  </si>
  <si>
    <t>Other Registration Income- Vail Valley Partshp</t>
  </si>
  <si>
    <t>Revenue</t>
  </si>
  <si>
    <t xml:space="preserve">Service </t>
  </si>
  <si>
    <t>Tax</t>
  </si>
  <si>
    <t>Rooms</t>
  </si>
  <si>
    <t>Conference Program (design)</t>
  </si>
  <si>
    <t>Dave's Numbers</t>
  </si>
  <si>
    <t>MP NAHRO Fee</t>
  </si>
  <si>
    <t>CoNAHRO Fee</t>
  </si>
  <si>
    <t>Total Pd Coord Exp</t>
  </si>
  <si>
    <t>Total Registration</t>
  </si>
  <si>
    <t>PROFIT</t>
  </si>
  <si>
    <t>SPLIT 50/50 CO/MPNAHRO</t>
  </si>
  <si>
    <t>MPNAHRO EXPENSES</t>
  </si>
  <si>
    <t xml:space="preserve">     Coordinator Fee</t>
  </si>
  <si>
    <t>Total Due MPNAHRO</t>
  </si>
  <si>
    <t>PROFIT SHARING FOR 2017 MP/CONAHRO JOINT CONFERENCE</t>
  </si>
  <si>
    <t>carls</t>
  </si>
  <si>
    <t>daves</t>
  </si>
  <si>
    <t>diff</t>
  </si>
  <si>
    <t>Variance with Carl</t>
  </si>
  <si>
    <t>Notes:</t>
  </si>
  <si>
    <t>I used Carl's number in the reconciliation</t>
  </si>
  <si>
    <t>includes the $12,144 paid to Dave from MPNAHRO for conference coordination</t>
  </si>
  <si>
    <t>Dave's Expenses were $134, 597 and Carl's were $133,540 for a varience of $1057</t>
  </si>
  <si>
    <t>expenses less coord fee</t>
  </si>
  <si>
    <t>profit less coord fee</t>
  </si>
  <si>
    <t>profit split less coord fee</t>
  </si>
  <si>
    <t>Merchant Account</t>
  </si>
  <si>
    <t>CVENT Contract</t>
  </si>
  <si>
    <t>Total CVENT Amount as %</t>
  </si>
  <si>
    <t>2018 Budget</t>
  </si>
  <si>
    <t>2018 Actual</t>
  </si>
  <si>
    <t>Deli Buffet</t>
  </si>
  <si>
    <t>Thursday Banquet</t>
  </si>
  <si>
    <t>Paypal Lunches, Internet, Electric, Banquet, Golf etc…</t>
  </si>
  <si>
    <t xml:space="preserve">Food Expense </t>
  </si>
  <si>
    <t>Food Service</t>
  </si>
  <si>
    <t>Banquet Labor</t>
  </si>
  <si>
    <t>Banquet Total (without tax)</t>
  </si>
  <si>
    <t>Audio Visual Expense</t>
  </si>
  <si>
    <t>Audio Visual Service</t>
  </si>
  <si>
    <t>Total AV</t>
  </si>
  <si>
    <t>Room Charges</t>
  </si>
  <si>
    <t>Total Due</t>
  </si>
  <si>
    <t>Total MPRC Attendees outside CO = 26</t>
  </si>
  <si>
    <t>Per person profit based on 259 attendees</t>
  </si>
  <si>
    <t>Profit Sharing for MPRC</t>
  </si>
  <si>
    <t xml:space="preserve">    PayPal Meals Etc.</t>
  </si>
  <si>
    <t>Pay Pal Fees</t>
  </si>
  <si>
    <t>Mobile App</t>
  </si>
  <si>
    <t>2019 Budget</t>
  </si>
  <si>
    <t>Hats and Bandanas</t>
  </si>
  <si>
    <t>Italian Buffet</t>
  </si>
  <si>
    <t>Ultimate Ceasar Salad</t>
  </si>
  <si>
    <t>2019 Actual</t>
  </si>
  <si>
    <t>Kit Welchin</t>
  </si>
  <si>
    <t>Assorted Sodas (on consumption)</t>
  </si>
  <si>
    <t>Assorted Waters (on consumption)</t>
  </si>
  <si>
    <t xml:space="preserve">SUB TOTAL MANAGEMENT </t>
  </si>
  <si>
    <t>GRAND TOTAL MANAGEMENT</t>
  </si>
  <si>
    <t>Cash Bars</t>
  </si>
  <si>
    <t>Buffet Dinner #2 - sirloin steak and salmon</t>
  </si>
  <si>
    <t>Sunday and Tuesday Reception</t>
  </si>
  <si>
    <t>Card stk, ink, tx</t>
  </si>
  <si>
    <t>Office Depot</t>
  </si>
  <si>
    <t>center copy</t>
  </si>
  <si>
    <t>spray mount, dots</t>
  </si>
  <si>
    <t>Candy</t>
  </si>
  <si>
    <t>Walgreens</t>
  </si>
  <si>
    <t>contract</t>
  </si>
  <si>
    <t>fees</t>
  </si>
  <si>
    <t>Total 2019</t>
  </si>
  <si>
    <t>Tiana Patterson</t>
  </si>
  <si>
    <t>Sess Eval Postage</t>
  </si>
  <si>
    <t>Pharmaca</t>
  </si>
  <si>
    <t xml:space="preserve">   Banquet Tax</t>
  </si>
  <si>
    <t xml:space="preserve">   AV Tax</t>
  </si>
  <si>
    <t>Credits</t>
  </si>
  <si>
    <t>Banq Tax</t>
  </si>
  <si>
    <t>Av Tax</t>
  </si>
  <si>
    <t>Total credit</t>
  </si>
  <si>
    <t>Room Charges2</t>
  </si>
  <si>
    <t>Total Banquet and AV w/ tax</t>
  </si>
  <si>
    <t>Total less tax</t>
  </si>
  <si>
    <t>Banq</t>
  </si>
  <si>
    <t>Misc Charges????</t>
  </si>
  <si>
    <t>Marriott Bill</t>
  </si>
  <si>
    <t>My Calculation</t>
  </si>
  <si>
    <t>F&amp;B</t>
  </si>
  <si>
    <t>Sub Total</t>
  </si>
  <si>
    <t>Hotel Rooms</t>
  </si>
  <si>
    <t>Sub Ttl</t>
  </si>
  <si>
    <t>Total less room comps</t>
  </si>
  <si>
    <t>Final Allocations</t>
  </si>
  <si>
    <t>F/B</t>
  </si>
  <si>
    <t>Speaker Rooms</t>
  </si>
  <si>
    <t>Bowling-2018</t>
  </si>
  <si>
    <t>2020 Budget</t>
  </si>
  <si>
    <t>wifi correction</t>
  </si>
  <si>
    <t>added patio reception</t>
  </si>
  <si>
    <t>subtotal</t>
  </si>
  <si>
    <t>loss waiver</t>
  </si>
  <si>
    <t>new total</t>
  </si>
  <si>
    <t>previous quote</t>
  </si>
  <si>
    <t>2020 Conference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</si>
</sst>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37" fontId="0" fillId="0" borderId="0" xfId="1" applyNumberFormat="1" applyFont="1"/>
    <xf numFmtId="44" fontId="0" fillId="0" borderId="0" xfId="1" applyFont="1"/>
    <xf numFmtId="0" fontId="6" fillId="0" borderId="0" xfId="0" applyFont="1"/>
    <xf numFmtId="164" fontId="0" fillId="0" borderId="0" xfId="0" applyNumberFormat="1"/>
    <xf numFmtId="44" fontId="0" fillId="0" borderId="0" xfId="0" applyNumberFormat="1"/>
    <xf numFmtId="164" fontId="5" fillId="0" borderId="0" xfId="1" applyNumberFormat="1" applyFont="1"/>
    <xf numFmtId="44" fontId="5" fillId="0" borderId="0" xfId="0" applyNumberFormat="1" applyFont="1"/>
    <xf numFmtId="0" fontId="7" fillId="0" borderId="0" xfId="0" applyFont="1"/>
    <xf numFmtId="44" fontId="5" fillId="0" borderId="0" xfId="1" applyFont="1"/>
    <xf numFmtId="164" fontId="5" fillId="0" borderId="0" xfId="0" applyNumberFormat="1" applyFont="1"/>
    <xf numFmtId="0" fontId="8" fillId="0" borderId="0" xfId="0" applyFont="1"/>
    <xf numFmtId="43" fontId="5" fillId="0" borderId="0" xfId="0" applyNumberFormat="1" applyFont="1"/>
    <xf numFmtId="0" fontId="0" fillId="0" borderId="0" xfId="0" quotePrefix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44" fontId="10" fillId="0" borderId="0" xfId="1" applyFont="1"/>
    <xf numFmtId="2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0" fontId="11" fillId="0" borderId="0" xfId="0" applyFont="1"/>
    <xf numFmtId="0" fontId="12" fillId="0" borderId="1" xfId="0" applyFont="1" applyBorder="1"/>
    <xf numFmtId="44" fontId="12" fillId="0" borderId="1" xfId="1" applyFont="1" applyBorder="1"/>
    <xf numFmtId="44" fontId="9" fillId="0" borderId="1" xfId="1" applyFont="1" applyBorder="1"/>
    <xf numFmtId="44" fontId="3" fillId="0" borderId="0" xfId="1" applyFont="1"/>
    <xf numFmtId="44" fontId="7" fillId="0" borderId="0" xfId="1" applyFont="1"/>
    <xf numFmtId="0" fontId="12" fillId="0" borderId="0" xfId="0" applyFont="1"/>
    <xf numFmtId="44" fontId="12" fillId="0" borderId="0" xfId="1" applyFont="1"/>
    <xf numFmtId="44" fontId="9" fillId="0" borderId="0" xfId="1" applyFont="1"/>
    <xf numFmtId="0" fontId="5" fillId="3" borderId="0" xfId="0" applyFont="1" applyFill="1"/>
    <xf numFmtId="44" fontId="9" fillId="0" borderId="0" xfId="0" applyNumberFormat="1" applyFont="1"/>
    <xf numFmtId="44" fontId="10" fillId="0" borderId="1" xfId="1" applyFont="1" applyBorder="1"/>
    <xf numFmtId="39" fontId="3" fillId="0" borderId="0" xfId="1" applyNumberFormat="1" applyFont="1"/>
    <xf numFmtId="44" fontId="9" fillId="0" borderId="1" xfId="0" applyNumberFormat="1" applyFont="1" applyBorder="1"/>
    <xf numFmtId="2" fontId="0" fillId="0" borderId="0" xfId="0" applyNumberFormat="1"/>
    <xf numFmtId="0" fontId="5" fillId="0" borderId="0" xfId="0" applyFont="1" applyAlignment="1">
      <alignment horizontal="center"/>
    </xf>
    <xf numFmtId="44" fontId="13" fillId="0" borderId="0" xfId="1" applyFont="1"/>
    <xf numFmtId="0" fontId="14" fillId="0" borderId="0" xfId="0" applyFont="1"/>
    <xf numFmtId="44" fontId="14" fillId="0" borderId="0" xfId="1" applyFont="1"/>
    <xf numFmtId="0" fontId="13" fillId="0" borderId="0" xfId="0" applyFont="1"/>
    <xf numFmtId="0" fontId="0" fillId="0" borderId="2" xfId="0" applyBorder="1"/>
    <xf numFmtId="0" fontId="15" fillId="0" borderId="0" xfId="0" applyFont="1"/>
    <xf numFmtId="0" fontId="0" fillId="4" borderId="0" xfId="0" applyFill="1"/>
    <xf numFmtId="44" fontId="13" fillId="0" borderId="0" xfId="0" applyNumberFormat="1" applyFont="1"/>
    <xf numFmtId="0" fontId="16" fillId="0" borderId="0" xfId="0" applyFont="1"/>
    <xf numFmtId="0" fontId="13" fillId="0" borderId="0" xfId="0" quotePrefix="1" applyFont="1" applyAlignment="1">
      <alignment horizontal="center"/>
    </xf>
    <xf numFmtId="44" fontId="7" fillId="0" borderId="0" xfId="0" applyNumberFormat="1" applyFont="1"/>
    <xf numFmtId="0" fontId="13" fillId="0" borderId="2" xfId="0" applyFont="1" applyBorder="1"/>
    <xf numFmtId="0" fontId="13" fillId="0" borderId="0" xfId="0" applyFont="1" applyAlignment="1">
      <alignment horizontal="center"/>
    </xf>
    <xf numFmtId="44" fontId="0" fillId="5" borderId="0" xfId="1" applyFont="1" applyFill="1"/>
    <xf numFmtId="44" fontId="4" fillId="0" borderId="0" xfId="1" applyFont="1"/>
    <xf numFmtId="0" fontId="0" fillId="0" borderId="0" xfId="1" applyNumberFormat="1" applyFont="1"/>
    <xf numFmtId="14" fontId="13" fillId="0" borderId="0" xfId="0" applyNumberFormat="1" applyFont="1"/>
    <xf numFmtId="0" fontId="0" fillId="4" borderId="2" xfId="0" applyFill="1" applyBorder="1"/>
    <xf numFmtId="0" fontId="13" fillId="4" borderId="2" xfId="0" applyFont="1" applyFill="1" applyBorder="1"/>
    <xf numFmtId="44" fontId="17" fillId="0" borderId="0" xfId="1" applyFont="1"/>
    <xf numFmtId="44" fontId="18" fillId="0" borderId="0" xfId="1" applyFont="1"/>
    <xf numFmtId="44" fontId="1" fillId="0" borderId="0" xfId="1"/>
    <xf numFmtId="44" fontId="21" fillId="0" borderId="0" xfId="0" applyNumberFormat="1" applyFont="1"/>
    <xf numFmtId="0" fontId="22" fillId="0" borderId="0" xfId="0" applyFont="1"/>
    <xf numFmtId="0" fontId="19" fillId="0" borderId="2" xfId="0" applyFont="1" applyBorder="1"/>
    <xf numFmtId="44" fontId="0" fillId="0" borderId="2" xfId="1" applyFont="1" applyBorder="1"/>
    <xf numFmtId="44" fontId="0" fillId="0" borderId="2" xfId="0" applyNumberFormat="1" applyBorder="1"/>
    <xf numFmtId="44" fontId="13" fillId="0" borderId="0" xfId="1" applyFont="1" applyAlignment="1">
      <alignment horizontal="center"/>
    </xf>
    <xf numFmtId="44" fontId="23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6" xfId="1" applyFont="1" applyBorder="1"/>
    <xf numFmtId="0" fontId="13" fillId="0" borderId="1" xfId="0" applyFont="1" applyBorder="1"/>
    <xf numFmtId="0" fontId="0" fillId="0" borderId="9" xfId="0" applyBorder="1"/>
    <xf numFmtId="44" fontId="17" fillId="0" borderId="3" xfId="1" applyFont="1" applyBorder="1"/>
    <xf numFmtId="44" fontId="13" fillId="0" borderId="8" xfId="0" applyNumberFormat="1" applyFont="1" applyBorder="1"/>
    <xf numFmtId="0" fontId="0" fillId="0" borderId="12" xfId="0" applyBorder="1"/>
    <xf numFmtId="44" fontId="13" fillId="0" borderId="10" xfId="0" applyNumberFormat="1" applyFont="1" applyBorder="1"/>
    <xf numFmtId="0" fontId="13" fillId="0" borderId="11" xfId="0" applyFont="1" applyBorder="1"/>
    <xf numFmtId="49" fontId="0" fillId="0" borderId="0" xfId="1" applyNumberFormat="1" applyFont="1"/>
    <xf numFmtId="49" fontId="13" fillId="0" borderId="0" xfId="1" applyNumberFormat="1" applyFont="1"/>
    <xf numFmtId="44" fontId="20" fillId="0" borderId="0" xfId="1" applyFont="1"/>
    <xf numFmtId="44" fontId="24" fillId="0" borderId="0" xfId="1" applyFont="1"/>
    <xf numFmtId="44" fontId="3" fillId="0" borderId="0" xfId="0" applyNumberFormat="1" applyFont="1"/>
    <xf numFmtId="0" fontId="2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top"/>
    </xf>
    <xf numFmtId="44" fontId="10" fillId="0" borderId="0" xfId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3" fillId="4" borderId="0" xfId="0" applyFont="1" applyFill="1"/>
    <xf numFmtId="44" fontId="13" fillId="4" borderId="0" xfId="1" applyFont="1" applyFill="1"/>
    <xf numFmtId="16" fontId="0" fillId="0" borderId="2" xfId="0" applyNumberFormat="1" applyBorder="1"/>
    <xf numFmtId="44" fontId="23" fillId="0" borderId="0" xfId="1" applyFont="1"/>
    <xf numFmtId="44" fontId="5" fillId="0" borderId="8" xfId="1" applyFont="1" applyBorder="1"/>
    <xf numFmtId="4" fontId="0" fillId="0" borderId="0" xfId="0" applyNumberFormat="1"/>
    <xf numFmtId="0" fontId="13" fillId="4" borderId="13" xfId="0" applyFont="1" applyFill="1" applyBorder="1"/>
    <xf numFmtId="0" fontId="0" fillId="4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9" fillId="0" borderId="16" xfId="0" applyFont="1" applyBorder="1"/>
    <xf numFmtId="0" fontId="11" fillId="0" borderId="16" xfId="0" applyFont="1" applyBorder="1"/>
    <xf numFmtId="0" fontId="14" fillId="0" borderId="16" xfId="0" applyFont="1" applyBorder="1"/>
    <xf numFmtId="164" fontId="5" fillId="6" borderId="0" xfId="1" applyNumberFormat="1" applyFont="1" applyFill="1"/>
    <xf numFmtId="0" fontId="29" fillId="0" borderId="0" xfId="0" applyFont="1"/>
    <xf numFmtId="0" fontId="28" fillId="0" borderId="16" xfId="0" applyFont="1" applyBorder="1"/>
    <xf numFmtId="0" fontId="13" fillId="0" borderId="16" xfId="0" applyFont="1" applyBorder="1"/>
    <xf numFmtId="0" fontId="13" fillId="4" borderId="16" xfId="0" applyFont="1" applyFill="1" applyBorder="1"/>
    <xf numFmtId="44" fontId="13" fillId="4" borderId="0" xfId="0" applyNumberFormat="1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1" fillId="0" borderId="2" xfId="0" applyFont="1" applyBorder="1"/>
    <xf numFmtId="44" fontId="5" fillId="0" borderId="2" xfId="0" applyNumberFormat="1" applyFont="1" applyBorder="1"/>
    <xf numFmtId="0" fontId="14" fillId="0" borderId="2" xfId="0" applyFont="1" applyBorder="1"/>
    <xf numFmtId="164" fontId="5" fillId="0" borderId="2" xfId="1" applyNumberFormat="1" applyFont="1" applyBorder="1"/>
    <xf numFmtId="0" fontId="28" fillId="7" borderId="2" xfId="0" applyFont="1" applyFill="1" applyBorder="1"/>
    <xf numFmtId="44" fontId="13" fillId="7" borderId="2" xfId="0" applyNumberFormat="1" applyFont="1" applyFill="1" applyBorder="1"/>
    <xf numFmtId="44" fontId="13" fillId="0" borderId="2" xfId="1" applyFont="1" applyBorder="1"/>
    <xf numFmtId="44" fontId="13" fillId="4" borderId="2" xfId="0" applyNumberFormat="1" applyFont="1" applyFill="1" applyBorder="1"/>
    <xf numFmtId="0" fontId="28" fillId="4" borderId="2" xfId="0" applyFont="1" applyFill="1" applyBorder="1"/>
    <xf numFmtId="10" fontId="13" fillId="0" borderId="0" xfId="2" applyNumberFormat="1" applyFont="1"/>
    <xf numFmtId="44" fontId="30" fillId="0" borderId="0" xfId="1" applyFont="1"/>
    <xf numFmtId="0" fontId="30" fillId="0" borderId="0" xfId="0" applyFont="1"/>
    <xf numFmtId="0" fontId="14" fillId="0" borderId="0" xfId="0" applyFont="1" applyFill="1"/>
    <xf numFmtId="0" fontId="0" fillId="0" borderId="0" xfId="0" applyFill="1" applyBorder="1"/>
    <xf numFmtId="44" fontId="21" fillId="0" borderId="0" xfId="1" applyFont="1"/>
    <xf numFmtId="0" fontId="17" fillId="0" borderId="0" xfId="0" applyFont="1"/>
    <xf numFmtId="44" fontId="13" fillId="0" borderId="2" xfId="0" applyNumberFormat="1" applyFont="1" applyBorder="1"/>
    <xf numFmtId="44" fontId="4" fillId="0" borderId="0" xfId="0" applyNumberFormat="1" applyFont="1"/>
    <xf numFmtId="0" fontId="13" fillId="0" borderId="2" xfId="0" applyFont="1" applyBorder="1" applyAlignment="1">
      <alignment horizontal="center"/>
    </xf>
    <xf numFmtId="44" fontId="13" fillId="0" borderId="2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NAHRO/State/Conf2010/Site%20Proposals/Budget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NAHRO/State/Conf2010/Budget/Pueblo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"/>
      <sheetName val="Mgmt Food Pueblo"/>
      <sheetName val="Main Food Pueblo"/>
      <sheetName val="Mgmt Food Breck"/>
      <sheetName val="Main Food Breck"/>
      <sheetName val="Mgmt Food Keystone"/>
      <sheetName val="Main Food Keystone"/>
    </sheetNames>
    <sheetDataSet>
      <sheetData sheetId="0" refreshError="1"/>
      <sheetData sheetId="1" refreshError="1">
        <row r="7">
          <cell r="G7">
            <v>6903</v>
          </cell>
        </row>
        <row r="16">
          <cell r="G16">
            <v>6018</v>
          </cell>
        </row>
        <row r="37">
          <cell r="G37">
            <v>1331.04</v>
          </cell>
        </row>
        <row r="65">
          <cell r="G65">
            <v>22291.68</v>
          </cell>
        </row>
      </sheetData>
      <sheetData sheetId="2" refreshError="1">
        <row r="6">
          <cell r="G6">
            <v>2250</v>
          </cell>
        </row>
        <row r="11">
          <cell r="G11">
            <v>4080</v>
          </cell>
        </row>
        <row r="30">
          <cell r="G30">
            <v>859.2</v>
          </cell>
        </row>
        <row r="44">
          <cell r="G44">
            <v>8189.2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gmt Food Budget"/>
      <sheetName val="Maint Food Budget"/>
      <sheetName val="Mgmt Food Order"/>
      <sheetName val="Maint Food Order"/>
      <sheetName val="Sheet1"/>
      <sheetName val="Golf"/>
      <sheetName val="Audio Visual"/>
    </sheetNames>
    <sheetDataSet>
      <sheetData sheetId="0" refreshError="1"/>
      <sheetData sheetId="1" refreshError="1">
        <row r="63">
          <cell r="G63">
            <v>8039.64</v>
          </cell>
        </row>
      </sheetData>
      <sheetData sheetId="2" refreshError="1">
        <row r="41">
          <cell r="G41">
            <v>1000</v>
          </cell>
        </row>
      </sheetData>
      <sheetData sheetId="3" refreshError="1">
        <row r="7">
          <cell r="G7">
            <v>6289.4</v>
          </cell>
        </row>
        <row r="16">
          <cell r="G16">
            <v>8496</v>
          </cell>
        </row>
        <row r="37">
          <cell r="G37">
            <v>848.42</v>
          </cell>
        </row>
      </sheetData>
      <sheetData sheetId="4" refreshError="1">
        <row r="6">
          <cell r="G6">
            <v>2914.6</v>
          </cell>
        </row>
        <row r="11">
          <cell r="G11">
            <v>3964.8</v>
          </cell>
        </row>
        <row r="30">
          <cell r="G30">
            <v>379.96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119"/>
  <sheetViews>
    <sheetView tabSelected="1" zoomScaleNormal="100" workbookViewId="0">
      <pane xSplit="5" ySplit="1" topLeftCell="W2" activePane="bottomRight" state="frozen"/>
      <selection pane="topRight" activeCell="F1" sqref="F1"/>
      <selection pane="bottomLeft" activeCell="A2" sqref="A2"/>
      <selection pane="bottomRight" activeCell="AB15" sqref="AB14:AB15"/>
    </sheetView>
  </sheetViews>
  <sheetFormatPr defaultRowHeight="15" x14ac:dyDescent="0.25"/>
  <cols>
    <col min="1" max="1" width="43" customWidth="1"/>
    <col min="2" max="3" width="13" hidden="1" customWidth="1"/>
    <col min="4" max="4" width="12.42578125" hidden="1" customWidth="1"/>
    <col min="5" max="5" width="14.28515625" hidden="1" customWidth="1"/>
    <col min="6" max="6" width="13.7109375" hidden="1" customWidth="1"/>
    <col min="7" max="7" width="13.5703125" hidden="1" customWidth="1"/>
    <col min="8" max="11" width="12.42578125" hidden="1" customWidth="1"/>
    <col min="12" max="12" width="12.28515625" hidden="1" customWidth="1"/>
    <col min="13" max="13" width="12.5703125" hidden="1" customWidth="1"/>
    <col min="14" max="14" width="12.7109375" style="8" hidden="1" customWidth="1"/>
    <col min="15" max="15" width="13.85546875" hidden="1" customWidth="1"/>
    <col min="16" max="16" width="13.28515625" hidden="1" customWidth="1"/>
    <col min="17" max="18" width="14.42578125" style="8" hidden="1" customWidth="1"/>
    <col min="19" max="19" width="14.7109375" hidden="1" customWidth="1"/>
    <col min="20" max="20" width="15.7109375" hidden="1" customWidth="1"/>
    <col min="21" max="22" width="14.85546875" hidden="1" customWidth="1"/>
    <col min="23" max="30" width="14.85546875" customWidth="1"/>
    <col min="31" max="31" width="17.7109375" customWidth="1"/>
    <col min="32" max="32" width="12.5703125" customWidth="1"/>
    <col min="33" max="33" width="10.5703125" bestFit="1" customWidth="1"/>
    <col min="34" max="34" width="11.28515625" customWidth="1"/>
    <col min="35" max="35" width="10.5703125" bestFit="1" customWidth="1"/>
    <col min="36" max="36" width="17.5703125" bestFit="1" customWidth="1"/>
    <col min="38" max="38" width="19.7109375" customWidth="1"/>
    <col min="237" max="237" width="42.5703125" customWidth="1"/>
    <col min="238" max="240" width="0" hidden="1" customWidth="1"/>
    <col min="241" max="241" width="14.28515625" customWidth="1"/>
    <col min="242" max="243" width="13.7109375" customWidth="1"/>
    <col min="244" max="244" width="12.28515625" bestFit="1" customWidth="1"/>
    <col min="246" max="246" width="12" customWidth="1"/>
    <col min="493" max="493" width="42.5703125" customWidth="1"/>
    <col min="494" max="496" width="0" hidden="1" customWidth="1"/>
    <col min="497" max="497" width="14.28515625" customWidth="1"/>
    <col min="498" max="499" width="13.7109375" customWidth="1"/>
    <col min="500" max="500" width="12.28515625" bestFit="1" customWidth="1"/>
    <col min="502" max="502" width="12" customWidth="1"/>
    <col min="749" max="749" width="42.5703125" customWidth="1"/>
    <col min="750" max="752" width="0" hidden="1" customWidth="1"/>
    <col min="753" max="753" width="14.28515625" customWidth="1"/>
    <col min="754" max="755" width="13.7109375" customWidth="1"/>
    <col min="756" max="756" width="12.28515625" bestFit="1" customWidth="1"/>
    <col min="758" max="758" width="12" customWidth="1"/>
    <col min="1005" max="1005" width="42.5703125" customWidth="1"/>
    <col min="1006" max="1008" width="0" hidden="1" customWidth="1"/>
    <col min="1009" max="1009" width="14.28515625" customWidth="1"/>
    <col min="1010" max="1011" width="13.7109375" customWidth="1"/>
    <col min="1012" max="1012" width="12.28515625" bestFit="1" customWidth="1"/>
    <col min="1014" max="1014" width="12" customWidth="1"/>
    <col min="1261" max="1261" width="42.5703125" customWidth="1"/>
    <col min="1262" max="1264" width="0" hidden="1" customWidth="1"/>
    <col min="1265" max="1265" width="14.28515625" customWidth="1"/>
    <col min="1266" max="1267" width="13.7109375" customWidth="1"/>
    <col min="1268" max="1268" width="12.28515625" bestFit="1" customWidth="1"/>
    <col min="1270" max="1270" width="12" customWidth="1"/>
    <col min="1517" max="1517" width="42.5703125" customWidth="1"/>
    <col min="1518" max="1520" width="0" hidden="1" customWidth="1"/>
    <col min="1521" max="1521" width="14.28515625" customWidth="1"/>
    <col min="1522" max="1523" width="13.7109375" customWidth="1"/>
    <col min="1524" max="1524" width="12.28515625" bestFit="1" customWidth="1"/>
    <col min="1526" max="1526" width="12" customWidth="1"/>
    <col min="1773" max="1773" width="42.5703125" customWidth="1"/>
    <col min="1774" max="1776" width="0" hidden="1" customWidth="1"/>
    <col min="1777" max="1777" width="14.28515625" customWidth="1"/>
    <col min="1778" max="1779" width="13.7109375" customWidth="1"/>
    <col min="1780" max="1780" width="12.28515625" bestFit="1" customWidth="1"/>
    <col min="1782" max="1782" width="12" customWidth="1"/>
    <col min="2029" max="2029" width="42.5703125" customWidth="1"/>
    <col min="2030" max="2032" width="0" hidden="1" customWidth="1"/>
    <col min="2033" max="2033" width="14.28515625" customWidth="1"/>
    <col min="2034" max="2035" width="13.7109375" customWidth="1"/>
    <col min="2036" max="2036" width="12.28515625" bestFit="1" customWidth="1"/>
    <col min="2038" max="2038" width="12" customWidth="1"/>
    <col min="2285" max="2285" width="42.5703125" customWidth="1"/>
    <col min="2286" max="2288" width="0" hidden="1" customWidth="1"/>
    <col min="2289" max="2289" width="14.28515625" customWidth="1"/>
    <col min="2290" max="2291" width="13.7109375" customWidth="1"/>
    <col min="2292" max="2292" width="12.28515625" bestFit="1" customWidth="1"/>
    <col min="2294" max="2294" width="12" customWidth="1"/>
    <col min="2541" max="2541" width="42.5703125" customWidth="1"/>
    <col min="2542" max="2544" width="0" hidden="1" customWidth="1"/>
    <col min="2545" max="2545" width="14.28515625" customWidth="1"/>
    <col min="2546" max="2547" width="13.7109375" customWidth="1"/>
    <col min="2548" max="2548" width="12.28515625" bestFit="1" customWidth="1"/>
    <col min="2550" max="2550" width="12" customWidth="1"/>
    <col min="2797" max="2797" width="42.5703125" customWidth="1"/>
    <col min="2798" max="2800" width="0" hidden="1" customWidth="1"/>
    <col min="2801" max="2801" width="14.28515625" customWidth="1"/>
    <col min="2802" max="2803" width="13.7109375" customWidth="1"/>
    <col min="2804" max="2804" width="12.28515625" bestFit="1" customWidth="1"/>
    <col min="2806" max="2806" width="12" customWidth="1"/>
    <col min="3053" max="3053" width="42.5703125" customWidth="1"/>
    <col min="3054" max="3056" width="0" hidden="1" customWidth="1"/>
    <col min="3057" max="3057" width="14.28515625" customWidth="1"/>
    <col min="3058" max="3059" width="13.7109375" customWidth="1"/>
    <col min="3060" max="3060" width="12.28515625" bestFit="1" customWidth="1"/>
    <col min="3062" max="3062" width="12" customWidth="1"/>
    <col min="3309" max="3309" width="42.5703125" customWidth="1"/>
    <col min="3310" max="3312" width="0" hidden="1" customWidth="1"/>
    <col min="3313" max="3313" width="14.28515625" customWidth="1"/>
    <col min="3314" max="3315" width="13.7109375" customWidth="1"/>
    <col min="3316" max="3316" width="12.28515625" bestFit="1" customWidth="1"/>
    <col min="3318" max="3318" width="12" customWidth="1"/>
    <col min="3565" max="3565" width="42.5703125" customWidth="1"/>
    <col min="3566" max="3568" width="0" hidden="1" customWidth="1"/>
    <col min="3569" max="3569" width="14.28515625" customWidth="1"/>
    <col min="3570" max="3571" width="13.7109375" customWidth="1"/>
    <col min="3572" max="3572" width="12.28515625" bestFit="1" customWidth="1"/>
    <col min="3574" max="3574" width="12" customWidth="1"/>
    <col min="3821" max="3821" width="42.5703125" customWidth="1"/>
    <col min="3822" max="3824" width="0" hidden="1" customWidth="1"/>
    <col min="3825" max="3825" width="14.28515625" customWidth="1"/>
    <col min="3826" max="3827" width="13.7109375" customWidth="1"/>
    <col min="3828" max="3828" width="12.28515625" bestFit="1" customWidth="1"/>
    <col min="3830" max="3830" width="12" customWidth="1"/>
    <col min="4077" max="4077" width="42.5703125" customWidth="1"/>
    <col min="4078" max="4080" width="0" hidden="1" customWidth="1"/>
    <col min="4081" max="4081" width="14.28515625" customWidth="1"/>
    <col min="4082" max="4083" width="13.7109375" customWidth="1"/>
    <col min="4084" max="4084" width="12.28515625" bestFit="1" customWidth="1"/>
    <col min="4086" max="4086" width="12" customWidth="1"/>
    <col min="4333" max="4333" width="42.5703125" customWidth="1"/>
    <col min="4334" max="4336" width="0" hidden="1" customWidth="1"/>
    <col min="4337" max="4337" width="14.28515625" customWidth="1"/>
    <col min="4338" max="4339" width="13.7109375" customWidth="1"/>
    <col min="4340" max="4340" width="12.28515625" bestFit="1" customWidth="1"/>
    <col min="4342" max="4342" width="12" customWidth="1"/>
    <col min="4589" max="4589" width="42.5703125" customWidth="1"/>
    <col min="4590" max="4592" width="0" hidden="1" customWidth="1"/>
    <col min="4593" max="4593" width="14.28515625" customWidth="1"/>
    <col min="4594" max="4595" width="13.7109375" customWidth="1"/>
    <col min="4596" max="4596" width="12.28515625" bestFit="1" customWidth="1"/>
    <col min="4598" max="4598" width="12" customWidth="1"/>
    <col min="4845" max="4845" width="42.5703125" customWidth="1"/>
    <col min="4846" max="4848" width="0" hidden="1" customWidth="1"/>
    <col min="4849" max="4849" width="14.28515625" customWidth="1"/>
    <col min="4850" max="4851" width="13.7109375" customWidth="1"/>
    <col min="4852" max="4852" width="12.28515625" bestFit="1" customWidth="1"/>
    <col min="4854" max="4854" width="12" customWidth="1"/>
    <col min="5101" max="5101" width="42.5703125" customWidth="1"/>
    <col min="5102" max="5104" width="0" hidden="1" customWidth="1"/>
    <col min="5105" max="5105" width="14.28515625" customWidth="1"/>
    <col min="5106" max="5107" width="13.7109375" customWidth="1"/>
    <col min="5108" max="5108" width="12.28515625" bestFit="1" customWidth="1"/>
    <col min="5110" max="5110" width="12" customWidth="1"/>
    <col min="5357" max="5357" width="42.5703125" customWidth="1"/>
    <col min="5358" max="5360" width="0" hidden="1" customWidth="1"/>
    <col min="5361" max="5361" width="14.28515625" customWidth="1"/>
    <col min="5362" max="5363" width="13.7109375" customWidth="1"/>
    <col min="5364" max="5364" width="12.28515625" bestFit="1" customWidth="1"/>
    <col min="5366" max="5366" width="12" customWidth="1"/>
    <col min="5613" max="5613" width="42.5703125" customWidth="1"/>
    <col min="5614" max="5616" width="0" hidden="1" customWidth="1"/>
    <col min="5617" max="5617" width="14.28515625" customWidth="1"/>
    <col min="5618" max="5619" width="13.7109375" customWidth="1"/>
    <col min="5620" max="5620" width="12.28515625" bestFit="1" customWidth="1"/>
    <col min="5622" max="5622" width="12" customWidth="1"/>
    <col min="5869" max="5869" width="42.5703125" customWidth="1"/>
    <col min="5870" max="5872" width="0" hidden="1" customWidth="1"/>
    <col min="5873" max="5873" width="14.28515625" customWidth="1"/>
    <col min="5874" max="5875" width="13.7109375" customWidth="1"/>
    <col min="5876" max="5876" width="12.28515625" bestFit="1" customWidth="1"/>
    <col min="5878" max="5878" width="12" customWidth="1"/>
    <col min="6125" max="6125" width="42.5703125" customWidth="1"/>
    <col min="6126" max="6128" width="0" hidden="1" customWidth="1"/>
    <col min="6129" max="6129" width="14.28515625" customWidth="1"/>
    <col min="6130" max="6131" width="13.7109375" customWidth="1"/>
    <col min="6132" max="6132" width="12.28515625" bestFit="1" customWidth="1"/>
    <col min="6134" max="6134" width="12" customWidth="1"/>
    <col min="6381" max="6381" width="42.5703125" customWidth="1"/>
    <col min="6382" max="6384" width="0" hidden="1" customWidth="1"/>
    <col min="6385" max="6385" width="14.28515625" customWidth="1"/>
    <col min="6386" max="6387" width="13.7109375" customWidth="1"/>
    <col min="6388" max="6388" width="12.28515625" bestFit="1" customWidth="1"/>
    <col min="6390" max="6390" width="12" customWidth="1"/>
    <col min="6637" max="6637" width="42.5703125" customWidth="1"/>
    <col min="6638" max="6640" width="0" hidden="1" customWidth="1"/>
    <col min="6641" max="6641" width="14.28515625" customWidth="1"/>
    <col min="6642" max="6643" width="13.7109375" customWidth="1"/>
    <col min="6644" max="6644" width="12.28515625" bestFit="1" customWidth="1"/>
    <col min="6646" max="6646" width="12" customWidth="1"/>
    <col min="6893" max="6893" width="42.5703125" customWidth="1"/>
    <col min="6894" max="6896" width="0" hidden="1" customWidth="1"/>
    <col min="6897" max="6897" width="14.28515625" customWidth="1"/>
    <col min="6898" max="6899" width="13.7109375" customWidth="1"/>
    <col min="6900" max="6900" width="12.28515625" bestFit="1" customWidth="1"/>
    <col min="6902" max="6902" width="12" customWidth="1"/>
    <col min="7149" max="7149" width="42.5703125" customWidth="1"/>
    <col min="7150" max="7152" width="0" hidden="1" customWidth="1"/>
    <col min="7153" max="7153" width="14.28515625" customWidth="1"/>
    <col min="7154" max="7155" width="13.7109375" customWidth="1"/>
    <col min="7156" max="7156" width="12.28515625" bestFit="1" customWidth="1"/>
    <col min="7158" max="7158" width="12" customWidth="1"/>
    <col min="7405" max="7405" width="42.5703125" customWidth="1"/>
    <col min="7406" max="7408" width="0" hidden="1" customWidth="1"/>
    <col min="7409" max="7409" width="14.28515625" customWidth="1"/>
    <col min="7410" max="7411" width="13.7109375" customWidth="1"/>
    <col min="7412" max="7412" width="12.28515625" bestFit="1" customWidth="1"/>
    <col min="7414" max="7414" width="12" customWidth="1"/>
    <col min="7661" max="7661" width="42.5703125" customWidth="1"/>
    <col min="7662" max="7664" width="0" hidden="1" customWidth="1"/>
    <col min="7665" max="7665" width="14.28515625" customWidth="1"/>
    <col min="7666" max="7667" width="13.7109375" customWidth="1"/>
    <col min="7668" max="7668" width="12.28515625" bestFit="1" customWidth="1"/>
    <col min="7670" max="7670" width="12" customWidth="1"/>
    <col min="7917" max="7917" width="42.5703125" customWidth="1"/>
    <col min="7918" max="7920" width="0" hidden="1" customWidth="1"/>
    <col min="7921" max="7921" width="14.28515625" customWidth="1"/>
    <col min="7922" max="7923" width="13.7109375" customWidth="1"/>
    <col min="7924" max="7924" width="12.28515625" bestFit="1" customWidth="1"/>
    <col min="7926" max="7926" width="12" customWidth="1"/>
    <col min="8173" max="8173" width="42.5703125" customWidth="1"/>
    <col min="8174" max="8176" width="0" hidden="1" customWidth="1"/>
    <col min="8177" max="8177" width="14.28515625" customWidth="1"/>
    <col min="8178" max="8179" width="13.7109375" customWidth="1"/>
    <col min="8180" max="8180" width="12.28515625" bestFit="1" customWidth="1"/>
    <col min="8182" max="8182" width="12" customWidth="1"/>
    <col min="8429" max="8429" width="42.5703125" customWidth="1"/>
    <col min="8430" max="8432" width="0" hidden="1" customWidth="1"/>
    <col min="8433" max="8433" width="14.28515625" customWidth="1"/>
    <col min="8434" max="8435" width="13.7109375" customWidth="1"/>
    <col min="8436" max="8436" width="12.28515625" bestFit="1" customWidth="1"/>
    <col min="8438" max="8438" width="12" customWidth="1"/>
    <col min="8685" max="8685" width="42.5703125" customWidth="1"/>
    <col min="8686" max="8688" width="0" hidden="1" customWidth="1"/>
    <col min="8689" max="8689" width="14.28515625" customWidth="1"/>
    <col min="8690" max="8691" width="13.7109375" customWidth="1"/>
    <col min="8692" max="8692" width="12.28515625" bestFit="1" customWidth="1"/>
    <col min="8694" max="8694" width="12" customWidth="1"/>
    <col min="8941" max="8941" width="42.5703125" customWidth="1"/>
    <col min="8942" max="8944" width="0" hidden="1" customWidth="1"/>
    <col min="8945" max="8945" width="14.28515625" customWidth="1"/>
    <col min="8946" max="8947" width="13.7109375" customWidth="1"/>
    <col min="8948" max="8948" width="12.28515625" bestFit="1" customWidth="1"/>
    <col min="8950" max="8950" width="12" customWidth="1"/>
    <col min="9197" max="9197" width="42.5703125" customWidth="1"/>
    <col min="9198" max="9200" width="0" hidden="1" customWidth="1"/>
    <col min="9201" max="9201" width="14.28515625" customWidth="1"/>
    <col min="9202" max="9203" width="13.7109375" customWidth="1"/>
    <col min="9204" max="9204" width="12.28515625" bestFit="1" customWidth="1"/>
    <col min="9206" max="9206" width="12" customWidth="1"/>
    <col min="9453" max="9453" width="42.5703125" customWidth="1"/>
    <col min="9454" max="9456" width="0" hidden="1" customWidth="1"/>
    <col min="9457" max="9457" width="14.28515625" customWidth="1"/>
    <col min="9458" max="9459" width="13.7109375" customWidth="1"/>
    <col min="9460" max="9460" width="12.28515625" bestFit="1" customWidth="1"/>
    <col min="9462" max="9462" width="12" customWidth="1"/>
    <col min="9709" max="9709" width="42.5703125" customWidth="1"/>
    <col min="9710" max="9712" width="0" hidden="1" customWidth="1"/>
    <col min="9713" max="9713" width="14.28515625" customWidth="1"/>
    <col min="9714" max="9715" width="13.7109375" customWidth="1"/>
    <col min="9716" max="9716" width="12.28515625" bestFit="1" customWidth="1"/>
    <col min="9718" max="9718" width="12" customWidth="1"/>
    <col min="9965" max="9965" width="42.5703125" customWidth="1"/>
    <col min="9966" max="9968" width="0" hidden="1" customWidth="1"/>
    <col min="9969" max="9969" width="14.28515625" customWidth="1"/>
    <col min="9970" max="9971" width="13.7109375" customWidth="1"/>
    <col min="9972" max="9972" width="12.28515625" bestFit="1" customWidth="1"/>
    <col min="9974" max="9974" width="12" customWidth="1"/>
    <col min="10221" max="10221" width="42.5703125" customWidth="1"/>
    <col min="10222" max="10224" width="0" hidden="1" customWidth="1"/>
    <col min="10225" max="10225" width="14.28515625" customWidth="1"/>
    <col min="10226" max="10227" width="13.7109375" customWidth="1"/>
    <col min="10228" max="10228" width="12.28515625" bestFit="1" customWidth="1"/>
    <col min="10230" max="10230" width="12" customWidth="1"/>
    <col min="10477" max="10477" width="42.5703125" customWidth="1"/>
    <col min="10478" max="10480" width="0" hidden="1" customWidth="1"/>
    <col min="10481" max="10481" width="14.28515625" customWidth="1"/>
    <col min="10482" max="10483" width="13.7109375" customWidth="1"/>
    <col min="10484" max="10484" width="12.28515625" bestFit="1" customWidth="1"/>
    <col min="10486" max="10486" width="12" customWidth="1"/>
    <col min="10733" max="10733" width="42.5703125" customWidth="1"/>
    <col min="10734" max="10736" width="0" hidden="1" customWidth="1"/>
    <col min="10737" max="10737" width="14.28515625" customWidth="1"/>
    <col min="10738" max="10739" width="13.7109375" customWidth="1"/>
    <col min="10740" max="10740" width="12.28515625" bestFit="1" customWidth="1"/>
    <col min="10742" max="10742" width="12" customWidth="1"/>
    <col min="10989" max="10989" width="42.5703125" customWidth="1"/>
    <col min="10990" max="10992" width="0" hidden="1" customWidth="1"/>
    <col min="10993" max="10993" width="14.28515625" customWidth="1"/>
    <col min="10994" max="10995" width="13.7109375" customWidth="1"/>
    <col min="10996" max="10996" width="12.28515625" bestFit="1" customWidth="1"/>
    <col min="10998" max="10998" width="12" customWidth="1"/>
    <col min="11245" max="11245" width="42.5703125" customWidth="1"/>
    <col min="11246" max="11248" width="0" hidden="1" customWidth="1"/>
    <col min="11249" max="11249" width="14.28515625" customWidth="1"/>
    <col min="11250" max="11251" width="13.7109375" customWidth="1"/>
    <col min="11252" max="11252" width="12.28515625" bestFit="1" customWidth="1"/>
    <col min="11254" max="11254" width="12" customWidth="1"/>
    <col min="11501" max="11501" width="42.5703125" customWidth="1"/>
    <col min="11502" max="11504" width="0" hidden="1" customWidth="1"/>
    <col min="11505" max="11505" width="14.28515625" customWidth="1"/>
    <col min="11506" max="11507" width="13.7109375" customWidth="1"/>
    <col min="11508" max="11508" width="12.28515625" bestFit="1" customWidth="1"/>
    <col min="11510" max="11510" width="12" customWidth="1"/>
    <col min="11757" max="11757" width="42.5703125" customWidth="1"/>
    <col min="11758" max="11760" width="0" hidden="1" customWidth="1"/>
    <col min="11761" max="11761" width="14.28515625" customWidth="1"/>
    <col min="11762" max="11763" width="13.7109375" customWidth="1"/>
    <col min="11764" max="11764" width="12.28515625" bestFit="1" customWidth="1"/>
    <col min="11766" max="11766" width="12" customWidth="1"/>
    <col min="12013" max="12013" width="42.5703125" customWidth="1"/>
    <col min="12014" max="12016" width="0" hidden="1" customWidth="1"/>
    <col min="12017" max="12017" width="14.28515625" customWidth="1"/>
    <col min="12018" max="12019" width="13.7109375" customWidth="1"/>
    <col min="12020" max="12020" width="12.28515625" bestFit="1" customWidth="1"/>
    <col min="12022" max="12022" width="12" customWidth="1"/>
    <col min="12269" max="12269" width="42.5703125" customWidth="1"/>
    <col min="12270" max="12272" width="0" hidden="1" customWidth="1"/>
    <col min="12273" max="12273" width="14.28515625" customWidth="1"/>
    <col min="12274" max="12275" width="13.7109375" customWidth="1"/>
    <col min="12276" max="12276" width="12.28515625" bestFit="1" customWidth="1"/>
    <col min="12278" max="12278" width="12" customWidth="1"/>
    <col min="12525" max="12525" width="42.5703125" customWidth="1"/>
    <col min="12526" max="12528" width="0" hidden="1" customWidth="1"/>
    <col min="12529" max="12529" width="14.28515625" customWidth="1"/>
    <col min="12530" max="12531" width="13.7109375" customWidth="1"/>
    <col min="12532" max="12532" width="12.28515625" bestFit="1" customWidth="1"/>
    <col min="12534" max="12534" width="12" customWidth="1"/>
    <col min="12781" max="12781" width="42.5703125" customWidth="1"/>
    <col min="12782" max="12784" width="0" hidden="1" customWidth="1"/>
    <col min="12785" max="12785" width="14.28515625" customWidth="1"/>
    <col min="12786" max="12787" width="13.7109375" customWidth="1"/>
    <col min="12788" max="12788" width="12.28515625" bestFit="1" customWidth="1"/>
    <col min="12790" max="12790" width="12" customWidth="1"/>
    <col min="13037" max="13037" width="42.5703125" customWidth="1"/>
    <col min="13038" max="13040" width="0" hidden="1" customWidth="1"/>
    <col min="13041" max="13041" width="14.28515625" customWidth="1"/>
    <col min="13042" max="13043" width="13.7109375" customWidth="1"/>
    <col min="13044" max="13044" width="12.28515625" bestFit="1" customWidth="1"/>
    <col min="13046" max="13046" width="12" customWidth="1"/>
    <col min="13293" max="13293" width="42.5703125" customWidth="1"/>
    <col min="13294" max="13296" width="0" hidden="1" customWidth="1"/>
    <col min="13297" max="13297" width="14.28515625" customWidth="1"/>
    <col min="13298" max="13299" width="13.7109375" customWidth="1"/>
    <col min="13300" max="13300" width="12.28515625" bestFit="1" customWidth="1"/>
    <col min="13302" max="13302" width="12" customWidth="1"/>
    <col min="13549" max="13549" width="42.5703125" customWidth="1"/>
    <col min="13550" max="13552" width="0" hidden="1" customWidth="1"/>
    <col min="13553" max="13553" width="14.28515625" customWidth="1"/>
    <col min="13554" max="13555" width="13.7109375" customWidth="1"/>
    <col min="13556" max="13556" width="12.28515625" bestFit="1" customWidth="1"/>
    <col min="13558" max="13558" width="12" customWidth="1"/>
    <col min="13805" max="13805" width="42.5703125" customWidth="1"/>
    <col min="13806" max="13808" width="0" hidden="1" customWidth="1"/>
    <col min="13809" max="13809" width="14.28515625" customWidth="1"/>
    <col min="13810" max="13811" width="13.7109375" customWidth="1"/>
    <col min="13812" max="13812" width="12.28515625" bestFit="1" customWidth="1"/>
    <col min="13814" max="13814" width="12" customWidth="1"/>
    <col min="14061" max="14061" width="42.5703125" customWidth="1"/>
    <col min="14062" max="14064" width="0" hidden="1" customWidth="1"/>
    <col min="14065" max="14065" width="14.28515625" customWidth="1"/>
    <col min="14066" max="14067" width="13.7109375" customWidth="1"/>
    <col min="14068" max="14068" width="12.28515625" bestFit="1" customWidth="1"/>
    <col min="14070" max="14070" width="12" customWidth="1"/>
    <col min="14317" max="14317" width="42.5703125" customWidth="1"/>
    <col min="14318" max="14320" width="0" hidden="1" customWidth="1"/>
    <col min="14321" max="14321" width="14.28515625" customWidth="1"/>
    <col min="14322" max="14323" width="13.7109375" customWidth="1"/>
    <col min="14324" max="14324" width="12.28515625" bestFit="1" customWidth="1"/>
    <col min="14326" max="14326" width="12" customWidth="1"/>
    <col min="14573" max="14573" width="42.5703125" customWidth="1"/>
    <col min="14574" max="14576" width="0" hidden="1" customWidth="1"/>
    <col min="14577" max="14577" width="14.28515625" customWidth="1"/>
    <col min="14578" max="14579" width="13.7109375" customWidth="1"/>
    <col min="14580" max="14580" width="12.28515625" bestFit="1" customWidth="1"/>
    <col min="14582" max="14582" width="12" customWidth="1"/>
    <col min="14829" max="14829" width="42.5703125" customWidth="1"/>
    <col min="14830" max="14832" width="0" hidden="1" customWidth="1"/>
    <col min="14833" max="14833" width="14.28515625" customWidth="1"/>
    <col min="14834" max="14835" width="13.7109375" customWidth="1"/>
    <col min="14836" max="14836" width="12.28515625" bestFit="1" customWidth="1"/>
    <col min="14838" max="14838" width="12" customWidth="1"/>
    <col min="15085" max="15085" width="42.5703125" customWidth="1"/>
    <col min="15086" max="15088" width="0" hidden="1" customWidth="1"/>
    <col min="15089" max="15089" width="14.28515625" customWidth="1"/>
    <col min="15090" max="15091" width="13.7109375" customWidth="1"/>
    <col min="15092" max="15092" width="12.28515625" bestFit="1" customWidth="1"/>
    <col min="15094" max="15094" width="12" customWidth="1"/>
    <col min="15341" max="15341" width="42.5703125" customWidth="1"/>
    <col min="15342" max="15344" width="0" hidden="1" customWidth="1"/>
    <col min="15345" max="15345" width="14.28515625" customWidth="1"/>
    <col min="15346" max="15347" width="13.7109375" customWidth="1"/>
    <col min="15348" max="15348" width="12.28515625" bestFit="1" customWidth="1"/>
    <col min="15350" max="15350" width="12" customWidth="1"/>
    <col min="15597" max="15597" width="42.5703125" customWidth="1"/>
    <col min="15598" max="15600" width="0" hidden="1" customWidth="1"/>
    <col min="15601" max="15601" width="14.28515625" customWidth="1"/>
    <col min="15602" max="15603" width="13.7109375" customWidth="1"/>
    <col min="15604" max="15604" width="12.28515625" bestFit="1" customWidth="1"/>
    <col min="15606" max="15606" width="12" customWidth="1"/>
    <col min="15853" max="15853" width="42.5703125" customWidth="1"/>
    <col min="15854" max="15856" width="0" hidden="1" customWidth="1"/>
    <col min="15857" max="15857" width="14.28515625" customWidth="1"/>
    <col min="15858" max="15859" width="13.7109375" customWidth="1"/>
    <col min="15860" max="15860" width="12.28515625" bestFit="1" customWidth="1"/>
    <col min="15862" max="15862" width="12" customWidth="1"/>
    <col min="16109" max="16109" width="42.5703125" customWidth="1"/>
    <col min="16110" max="16112" width="0" hidden="1" customWidth="1"/>
    <col min="16113" max="16113" width="14.28515625" customWidth="1"/>
    <col min="16114" max="16115" width="13.7109375" customWidth="1"/>
    <col min="16116" max="16116" width="12.28515625" bestFit="1" customWidth="1"/>
    <col min="16118" max="16118" width="12" customWidth="1"/>
  </cols>
  <sheetData>
    <row r="1" spans="1:38" ht="26.45" customHeight="1" x14ac:dyDescent="0.3">
      <c r="A1" s="1" t="s">
        <v>421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147</v>
      </c>
      <c r="H1" s="3" t="s">
        <v>148</v>
      </c>
      <c r="I1" s="3" t="s">
        <v>153</v>
      </c>
      <c r="J1" s="3" t="s">
        <v>159</v>
      </c>
      <c r="K1" s="3" t="s">
        <v>156</v>
      </c>
      <c r="L1" s="2" t="s">
        <v>160</v>
      </c>
      <c r="M1" s="3" t="s">
        <v>165</v>
      </c>
      <c r="N1" s="29" t="s">
        <v>166</v>
      </c>
      <c r="O1" s="3" t="s">
        <v>173</v>
      </c>
      <c r="P1" s="3" t="s">
        <v>175</v>
      </c>
      <c r="Q1" s="29" t="s">
        <v>176</v>
      </c>
      <c r="R1" s="29" t="s">
        <v>195</v>
      </c>
      <c r="S1" s="29" t="s">
        <v>200</v>
      </c>
      <c r="T1" s="94" t="s">
        <v>201</v>
      </c>
      <c r="U1" s="29" t="s">
        <v>289</v>
      </c>
      <c r="V1" s="29" t="s">
        <v>309</v>
      </c>
      <c r="W1" s="29" t="s">
        <v>414</v>
      </c>
      <c r="X1" s="29" t="s">
        <v>371</v>
      </c>
      <c r="Y1" s="29" t="s">
        <v>367</v>
      </c>
      <c r="Z1" s="29" t="s">
        <v>347</v>
      </c>
      <c r="AA1" s="29" t="s">
        <v>348</v>
      </c>
      <c r="AB1" s="29"/>
      <c r="AC1" s="29"/>
      <c r="AD1" s="29"/>
      <c r="AE1" s="29"/>
      <c r="AF1" s="29" t="s">
        <v>308</v>
      </c>
    </row>
    <row r="2" spans="1:38" s="5" customFormat="1" x14ac:dyDescent="0.25">
      <c r="A2" s="4"/>
      <c r="B2" s="2"/>
      <c r="C2" s="3"/>
      <c r="I2"/>
      <c r="N2" s="61"/>
      <c r="Q2" s="61"/>
      <c r="R2" s="61"/>
      <c r="AB2" s="143"/>
    </row>
    <row r="3" spans="1:38" hidden="1" x14ac:dyDescent="0.25">
      <c r="A3" s="6" t="s">
        <v>5</v>
      </c>
    </row>
    <row r="4" spans="1:38" hidden="1" x14ac:dyDescent="0.25">
      <c r="A4" t="s">
        <v>6</v>
      </c>
      <c r="B4" s="7">
        <v>190</v>
      </c>
      <c r="C4">
        <v>150</v>
      </c>
      <c r="D4">
        <v>200</v>
      </c>
      <c r="E4">
        <v>150</v>
      </c>
      <c r="G4">
        <v>175</v>
      </c>
      <c r="H4" t="s">
        <v>154</v>
      </c>
      <c r="I4">
        <v>225</v>
      </c>
      <c r="J4">
        <v>225</v>
      </c>
      <c r="K4">
        <v>235</v>
      </c>
      <c r="L4">
        <v>175</v>
      </c>
      <c r="M4">
        <v>140</v>
      </c>
      <c r="N4" s="62">
        <v>180</v>
      </c>
      <c r="R4" s="89">
        <v>230</v>
      </c>
      <c r="S4" s="89">
        <v>230</v>
      </c>
    </row>
    <row r="5" spans="1:38" hidden="1" x14ac:dyDescent="0.25">
      <c r="A5" t="s">
        <v>7</v>
      </c>
      <c r="B5" s="7">
        <v>75</v>
      </c>
      <c r="C5">
        <v>75</v>
      </c>
      <c r="D5">
        <v>100</v>
      </c>
      <c r="E5">
        <v>75</v>
      </c>
      <c r="G5">
        <v>100</v>
      </c>
      <c r="H5" t="s">
        <v>155</v>
      </c>
      <c r="I5">
        <v>100</v>
      </c>
      <c r="J5">
        <v>75</v>
      </c>
      <c r="K5">
        <v>113</v>
      </c>
      <c r="L5">
        <v>75</v>
      </c>
      <c r="M5">
        <v>75</v>
      </c>
      <c r="N5" s="62">
        <v>100</v>
      </c>
      <c r="R5" s="89">
        <v>122</v>
      </c>
      <c r="S5" s="89">
        <v>122</v>
      </c>
    </row>
    <row r="6" spans="1:38" hidden="1" x14ac:dyDescent="0.25">
      <c r="A6" t="s">
        <v>168</v>
      </c>
      <c r="B6" s="7"/>
      <c r="N6" s="62">
        <v>6</v>
      </c>
      <c r="R6" s="89"/>
      <c r="S6" s="89"/>
    </row>
    <row r="7" spans="1:38" hidden="1" x14ac:dyDescent="0.25">
      <c r="B7" s="8"/>
      <c r="J7" s="50">
        <f>SUM(J4:J5)</f>
        <v>300</v>
      </c>
      <c r="K7" s="50">
        <f>SUM(K4:K5)</f>
        <v>348</v>
      </c>
      <c r="L7" s="50">
        <f>SUM(L4:L5)</f>
        <v>250</v>
      </c>
      <c r="M7" s="50">
        <f>SUM(M4:M5)</f>
        <v>215</v>
      </c>
      <c r="N7" s="50">
        <f>SUM(N4:N6)</f>
        <v>286</v>
      </c>
      <c r="R7" s="90">
        <f>SUM(R4:R6)</f>
        <v>352</v>
      </c>
      <c r="S7" s="90">
        <f>SUM(S4:S6)</f>
        <v>352</v>
      </c>
    </row>
    <row r="8" spans="1:38" hidden="1" x14ac:dyDescent="0.25">
      <c r="B8" s="8"/>
    </row>
    <row r="9" spans="1:38" hidden="1" x14ac:dyDescent="0.25">
      <c r="A9" t="s">
        <v>8</v>
      </c>
      <c r="B9" s="8">
        <v>250</v>
      </c>
      <c r="C9" s="8">
        <v>250</v>
      </c>
      <c r="E9" s="8">
        <v>250</v>
      </c>
      <c r="G9" s="8">
        <v>250</v>
      </c>
      <c r="I9" s="8">
        <v>250</v>
      </c>
      <c r="J9" s="8">
        <v>250</v>
      </c>
      <c r="K9" s="8">
        <v>250</v>
      </c>
      <c r="L9" s="8">
        <v>275</v>
      </c>
      <c r="M9" s="8">
        <v>275</v>
      </c>
      <c r="S9" s="8">
        <v>300</v>
      </c>
    </row>
    <row r="10" spans="1:38" hidden="1" x14ac:dyDescent="0.25">
      <c r="A10" t="s">
        <v>9</v>
      </c>
      <c r="B10" s="8">
        <v>120</v>
      </c>
      <c r="C10" s="8">
        <v>120</v>
      </c>
      <c r="E10" s="8">
        <v>120</v>
      </c>
      <c r="G10" s="8">
        <v>120</v>
      </c>
      <c r="I10" s="8">
        <v>125</v>
      </c>
      <c r="J10" s="8">
        <v>120</v>
      </c>
      <c r="K10" s="8">
        <v>120</v>
      </c>
      <c r="L10" s="8">
        <v>125</v>
      </c>
      <c r="M10" s="8">
        <v>125</v>
      </c>
      <c r="S10" s="8">
        <v>150</v>
      </c>
    </row>
    <row r="11" spans="1:38" hidden="1" x14ac:dyDescent="0.25">
      <c r="B11" s="8"/>
    </row>
    <row r="12" spans="1:38" ht="18.75" x14ac:dyDescent="0.3">
      <c r="A12" s="9" t="s">
        <v>10</v>
      </c>
      <c r="B12" s="8"/>
      <c r="S12" s="8">
        <f>+S9*R4</f>
        <v>69000</v>
      </c>
    </row>
    <row r="13" spans="1:38" ht="18.75" x14ac:dyDescent="0.3">
      <c r="A13" s="9"/>
      <c r="B13" s="8"/>
      <c r="S13" s="8">
        <f>+S10*R5</f>
        <v>18300</v>
      </c>
      <c r="W13">
        <f>+W15+W14</f>
        <v>369</v>
      </c>
      <c r="X13">
        <f>+X15+X14</f>
        <v>369</v>
      </c>
    </row>
    <row r="14" spans="1:38" x14ac:dyDescent="0.25">
      <c r="A14" t="s">
        <v>11</v>
      </c>
      <c r="B14" s="8">
        <f>60766.57-1252.8</f>
        <v>59513.77</v>
      </c>
      <c r="C14" s="8">
        <f>+C4*C9</f>
        <v>37500</v>
      </c>
      <c r="D14" s="8">
        <f>50420+600</f>
        <v>51020</v>
      </c>
      <c r="E14" s="8">
        <f>+E9*E4</f>
        <v>37500</v>
      </c>
      <c r="G14" s="11">
        <f>+G4*G9</f>
        <v>43750</v>
      </c>
      <c r="H14" s="8">
        <v>66568.850000000006</v>
      </c>
      <c r="I14" s="11">
        <f>+I4*I9</f>
        <v>56250</v>
      </c>
      <c r="J14" s="8"/>
      <c r="K14" s="8"/>
      <c r="L14" s="11">
        <f>+L4*L9</f>
        <v>48125</v>
      </c>
      <c r="M14" s="11">
        <f>+M4*M9</f>
        <v>38500</v>
      </c>
      <c r="S14" s="8">
        <f>+S12+S13</f>
        <v>87300</v>
      </c>
      <c r="V14">
        <v>285</v>
      </c>
      <c r="W14">
        <v>249</v>
      </c>
      <c r="X14">
        <v>249</v>
      </c>
      <c r="Y14">
        <v>225</v>
      </c>
      <c r="AA14">
        <v>263</v>
      </c>
      <c r="AB14">
        <f>+V14*0.9</f>
        <v>256.5</v>
      </c>
      <c r="AC14">
        <f>+Y14/AA14</f>
        <v>0.85551330798479086</v>
      </c>
      <c r="AD14">
        <f>+AA14*AC14</f>
        <v>225</v>
      </c>
      <c r="AL14" s="50" t="s">
        <v>322</v>
      </c>
    </row>
    <row r="15" spans="1:38" x14ac:dyDescent="0.25">
      <c r="A15" t="s">
        <v>12</v>
      </c>
      <c r="B15" s="10"/>
      <c r="C15" s="11">
        <f>+C5*C10</f>
        <v>9000</v>
      </c>
      <c r="D15" s="8">
        <f>12810+600</f>
        <v>13410</v>
      </c>
      <c r="E15" s="8">
        <f>+E10*E5</f>
        <v>9000</v>
      </c>
      <c r="F15" s="8">
        <v>60000</v>
      </c>
      <c r="G15" s="11">
        <f>+G5*G10</f>
        <v>12000</v>
      </c>
      <c r="I15" s="11">
        <f>+I5*I10</f>
        <v>12500</v>
      </c>
      <c r="J15" s="11"/>
      <c r="K15" s="11"/>
      <c r="L15" s="8">
        <f>+L10*L5</f>
        <v>9375</v>
      </c>
      <c r="M15" s="8">
        <f>+M10*M5</f>
        <v>9375</v>
      </c>
      <c r="V15">
        <v>134</v>
      </c>
      <c r="W15">
        <v>120</v>
      </c>
      <c r="X15">
        <v>120</v>
      </c>
      <c r="Y15">
        <v>125</v>
      </c>
      <c r="AA15">
        <v>125</v>
      </c>
      <c r="AC15">
        <f>+AB14+V15</f>
        <v>390.5</v>
      </c>
    </row>
    <row r="16" spans="1:38" x14ac:dyDescent="0.25">
      <c r="A16" t="s">
        <v>158</v>
      </c>
      <c r="B16" s="10"/>
      <c r="C16" s="11"/>
      <c r="D16" s="8"/>
      <c r="E16" s="8"/>
      <c r="F16" s="8"/>
      <c r="G16" s="11"/>
      <c r="I16" s="11"/>
      <c r="J16" s="11">
        <v>69228</v>
      </c>
      <c r="K16" s="11">
        <v>69228</v>
      </c>
      <c r="L16" s="11">
        <f>SUM(L14:L15)</f>
        <v>57500</v>
      </c>
      <c r="M16" s="11">
        <f>SUM(M14:M15)</f>
        <v>47875</v>
      </c>
      <c r="N16" s="8">
        <v>66235</v>
      </c>
      <c r="P16" s="8">
        <v>66235</v>
      </c>
      <c r="Q16" s="8">
        <v>76607</v>
      </c>
      <c r="R16" s="8">
        <v>76195</v>
      </c>
      <c r="S16" s="8">
        <v>75000</v>
      </c>
      <c r="T16" s="8">
        <v>94230</v>
      </c>
      <c r="U16" s="8">
        <v>94230</v>
      </c>
      <c r="V16" s="8">
        <f>105101-500</f>
        <v>104601</v>
      </c>
      <c r="W16" s="8">
        <v>89000</v>
      </c>
      <c r="X16" s="8">
        <v>89505</v>
      </c>
      <c r="Y16" s="8">
        <f>+AA16*0.85</f>
        <v>81320.349999999991</v>
      </c>
      <c r="Z16" s="8">
        <v>94000</v>
      </c>
      <c r="AA16" s="8">
        <v>95671</v>
      </c>
      <c r="AB16" s="8">
        <f>+Z16/V16</f>
        <v>0.89865297654898135</v>
      </c>
      <c r="AC16" s="8"/>
      <c r="AD16" s="8"/>
      <c r="AE16" s="11">
        <f>+U16+U20</f>
        <v>94908.21</v>
      </c>
      <c r="AF16" s="11">
        <v>101525</v>
      </c>
      <c r="AH16">
        <v>105101</v>
      </c>
      <c r="AL16" s="8">
        <f>103769.3-175</f>
        <v>103594.3</v>
      </c>
    </row>
    <row r="17" spans="1:38" x14ac:dyDescent="0.25">
      <c r="A17" t="s">
        <v>364</v>
      </c>
      <c r="B17" s="10"/>
      <c r="C17" s="11"/>
      <c r="D17" s="8">
        <v>-640.75</v>
      </c>
      <c r="E17" s="8">
        <v>-700</v>
      </c>
      <c r="K17">
        <v>-80.55</v>
      </c>
      <c r="P17" s="8"/>
      <c r="AA17" s="8">
        <v>1565</v>
      </c>
      <c r="AH17">
        <v>60230</v>
      </c>
    </row>
    <row r="18" spans="1:38" x14ac:dyDescent="0.25">
      <c r="A18" t="s">
        <v>13</v>
      </c>
      <c r="B18" s="8">
        <v>42409.1</v>
      </c>
      <c r="C18" s="8">
        <v>36272</v>
      </c>
      <c r="D18" s="8">
        <f>44150+500</f>
        <v>44650</v>
      </c>
      <c r="E18" s="8">
        <v>35000</v>
      </c>
      <c r="F18" s="8">
        <v>48750</v>
      </c>
      <c r="G18" s="8">
        <v>35000</v>
      </c>
      <c r="H18" s="8">
        <v>49400</v>
      </c>
      <c r="I18" s="8">
        <v>40000</v>
      </c>
      <c r="J18" s="8">
        <v>51050</v>
      </c>
      <c r="K18" s="8">
        <v>51050</v>
      </c>
      <c r="L18" s="8">
        <v>40000</v>
      </c>
      <c r="M18" s="8">
        <v>30000</v>
      </c>
      <c r="N18" s="8">
        <v>47600</v>
      </c>
      <c r="P18" s="8">
        <v>35000</v>
      </c>
      <c r="Q18" s="8">
        <v>32800</v>
      </c>
      <c r="R18" s="8">
        <v>32800</v>
      </c>
      <c r="S18" s="8">
        <v>33000</v>
      </c>
      <c r="T18" s="8">
        <v>49210</v>
      </c>
      <c r="U18" s="8">
        <v>49210</v>
      </c>
      <c r="V18" s="8">
        <v>62730</v>
      </c>
      <c r="W18" s="8">
        <v>55000</v>
      </c>
      <c r="X18" s="8">
        <v>57000</v>
      </c>
      <c r="Y18" s="8">
        <v>45000</v>
      </c>
      <c r="Z18" s="8">
        <v>45000</v>
      </c>
      <c r="AA18" s="8">
        <v>58700</v>
      </c>
      <c r="AB18" s="8">
        <f>+Z18/V18</f>
        <v>0.71736011477761841</v>
      </c>
      <c r="AC18" s="8"/>
      <c r="AD18" s="8"/>
      <c r="AF18" s="8">
        <v>60750</v>
      </c>
      <c r="AH18">
        <f>SUM(AH16:AH17)</f>
        <v>165331</v>
      </c>
      <c r="AJ18">
        <v>109886.02</v>
      </c>
      <c r="AK18">
        <f>+AH18-AJ18</f>
        <v>55444.979999999996</v>
      </c>
      <c r="AL18" s="8">
        <v>61900</v>
      </c>
    </row>
    <row r="19" spans="1:38" x14ac:dyDescent="0.25">
      <c r="A19" t="s">
        <v>316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P19" s="8"/>
      <c r="S19" s="8"/>
      <c r="T19" s="8"/>
      <c r="U19" s="8"/>
      <c r="V19" s="8">
        <v>500</v>
      </c>
      <c r="W19" s="8"/>
      <c r="X19" s="8"/>
      <c r="Y19" s="8"/>
      <c r="Z19" s="8"/>
      <c r="AA19" s="8"/>
      <c r="AB19" s="8"/>
      <c r="AC19" s="8"/>
      <c r="AD19" s="8"/>
      <c r="AF19" s="8">
        <v>500</v>
      </c>
      <c r="AL19" s="8">
        <v>500</v>
      </c>
    </row>
    <row r="20" spans="1:38" x14ac:dyDescent="0.25">
      <c r="A20" t="s">
        <v>351</v>
      </c>
      <c r="D20" s="8"/>
      <c r="E20" s="8"/>
      <c r="F20">
        <f>85+120+90+85+30+50</f>
        <v>460</v>
      </c>
      <c r="K20">
        <f>60+60+164.16</f>
        <v>284.15999999999997</v>
      </c>
      <c r="P20" s="8"/>
      <c r="Q20" s="8">
        <f>541.89+155</f>
        <v>696.89</v>
      </c>
      <c r="R20" s="8">
        <f>541.89+155</f>
        <v>696.89</v>
      </c>
      <c r="T20" s="8">
        <v>678.21</v>
      </c>
      <c r="U20" s="8">
        <v>678.21</v>
      </c>
      <c r="V20" s="8"/>
      <c r="W20" s="8"/>
      <c r="X20" s="8">
        <v>815</v>
      </c>
      <c r="Y20" s="8"/>
      <c r="Z20" s="8">
        <v>500</v>
      </c>
      <c r="AA20" s="8"/>
      <c r="AB20" s="8">
        <f>+AA16+AA20</f>
        <v>95671</v>
      </c>
      <c r="AC20" s="8"/>
      <c r="AD20" s="8"/>
      <c r="AE20" t="s">
        <v>227</v>
      </c>
    </row>
    <row r="21" spans="1:38" x14ac:dyDescent="0.25">
      <c r="A21" s="6" t="s">
        <v>14</v>
      </c>
      <c r="B21" s="12">
        <f>SUM(B14:B18)</f>
        <v>101922.87</v>
      </c>
      <c r="C21" s="12">
        <f>SUM(C14:C18)</f>
        <v>82772</v>
      </c>
      <c r="D21" s="12">
        <f>SUM(D14:D18)</f>
        <v>108439.25</v>
      </c>
      <c r="E21" s="12">
        <f>SUM(E14:E18)</f>
        <v>80800</v>
      </c>
      <c r="F21" s="13">
        <f>+F15+F18+F20</f>
        <v>109210</v>
      </c>
      <c r="G21" s="13">
        <f>SUM(G14:G20)</f>
        <v>90750</v>
      </c>
      <c r="H21" s="47">
        <f>SUM(H14:H20)</f>
        <v>115968.85</v>
      </c>
      <c r="I21" s="13">
        <f>SUM(I14:I20)</f>
        <v>108750</v>
      </c>
      <c r="J21" s="13">
        <f>+J16+J18</f>
        <v>120278</v>
      </c>
      <c r="K21" s="13">
        <f>+K16+K18+K20</f>
        <v>120562.16</v>
      </c>
      <c r="L21" s="13">
        <f>+L16+L17+L18+L20</f>
        <v>97500</v>
      </c>
      <c r="M21" s="13">
        <f>+M16+M17+M18+M20</f>
        <v>77875</v>
      </c>
      <c r="N21" s="13">
        <f>+N16+N17+N18+N20</f>
        <v>113835</v>
      </c>
      <c r="O21" s="13">
        <v>113835</v>
      </c>
      <c r="P21" s="13">
        <f>+P16+P17+P18+P20</f>
        <v>101235</v>
      </c>
      <c r="Q21" s="13">
        <f>+Q16+Q17+Q18+Q20</f>
        <v>110103.89</v>
      </c>
      <c r="R21" s="13">
        <f>+R16+R17+R18+R20</f>
        <v>109691.89</v>
      </c>
      <c r="S21" s="54">
        <f t="shared" ref="S21:AA21" si="0">SUM(S16:S20)</f>
        <v>108000</v>
      </c>
      <c r="T21" s="54">
        <f t="shared" si="0"/>
        <v>144118.21</v>
      </c>
      <c r="U21" s="54">
        <f t="shared" si="0"/>
        <v>144118.21</v>
      </c>
      <c r="V21" s="54">
        <f t="shared" si="0"/>
        <v>167831</v>
      </c>
      <c r="W21" s="54">
        <f t="shared" ref="W21" si="1">SUM(W16:W20)</f>
        <v>144000</v>
      </c>
      <c r="X21" s="54">
        <f t="shared" si="0"/>
        <v>147320</v>
      </c>
      <c r="Y21" s="54">
        <f>SUM(Y16:Y20)</f>
        <v>126320.34999999999</v>
      </c>
      <c r="Z21" s="54">
        <f t="shared" si="0"/>
        <v>139500</v>
      </c>
      <c r="AA21" s="54">
        <f t="shared" si="0"/>
        <v>155936</v>
      </c>
      <c r="AB21" s="54"/>
      <c r="AC21" s="54"/>
      <c r="AD21" s="54"/>
      <c r="AE21" s="11">
        <f>+AE16+U18</f>
        <v>144118.21000000002</v>
      </c>
      <c r="AF21" s="11">
        <f>SUM(AF16:AF20)</f>
        <v>162775</v>
      </c>
      <c r="AH21" s="11">
        <f>+AH18-V21</f>
        <v>-2500</v>
      </c>
    </row>
    <row r="22" spans="1:38" x14ac:dyDescent="0.25">
      <c r="B22" s="8"/>
      <c r="D22" s="8"/>
      <c r="E22" s="8"/>
    </row>
    <row r="23" spans="1:38" ht="18.75" x14ac:dyDescent="0.3">
      <c r="A23" s="9" t="s">
        <v>15</v>
      </c>
      <c r="B23" s="8"/>
      <c r="D23" s="8"/>
      <c r="E23" s="8"/>
    </row>
    <row r="24" spans="1:38" x14ac:dyDescent="0.25">
      <c r="B24" s="8"/>
      <c r="D24" s="8"/>
      <c r="E24" s="8"/>
    </row>
    <row r="25" spans="1:38" x14ac:dyDescent="0.25">
      <c r="A25" s="6" t="s">
        <v>16</v>
      </c>
      <c r="B25" s="8"/>
      <c r="D25" s="8"/>
      <c r="E25" s="8"/>
    </row>
    <row r="26" spans="1:38" x14ac:dyDescent="0.25">
      <c r="A26" t="s">
        <v>17</v>
      </c>
      <c r="B26" s="8">
        <v>13950</v>
      </c>
      <c r="C26" s="11">
        <f>+'[1]Mgmt Food Pueblo'!G7+'[1]Main Food Pueblo'!G6</f>
        <v>9153</v>
      </c>
      <c r="D26" s="8">
        <f>+'[2]Mgmt Food Order'!G7+'[2]Maint Food Order'!G6</f>
        <v>9204</v>
      </c>
      <c r="E26" s="8">
        <v>17718.75</v>
      </c>
      <c r="F26" s="11">
        <v>17325</v>
      </c>
      <c r="G26" s="11">
        <f>+'Mgmt Food Budget'!G7+'Maint Food Budget'!G6</f>
        <v>15787.68</v>
      </c>
      <c r="H26" s="11" t="e">
        <f>+#REF!</f>
        <v>#REF!</v>
      </c>
      <c r="I26" s="11">
        <v>15344.25</v>
      </c>
      <c r="J26" s="11">
        <v>17736.599999999999</v>
      </c>
      <c r="K26" s="11">
        <v>18389.73</v>
      </c>
      <c r="L26" s="11">
        <f>+'Maint Food Budget'!G6+'Mgmt Food Budget'!G7</f>
        <v>15787.68</v>
      </c>
      <c r="N26" s="8" t="e">
        <f>+#REF!+#REF!</f>
        <v>#REF!</v>
      </c>
      <c r="P26" s="11">
        <f>+'Mgmt Food Budget'!G7+'Maint Food Budget'!G6</f>
        <v>15787.68</v>
      </c>
      <c r="Q26" s="8" t="e">
        <f>+#REF!+#REF!</f>
        <v>#REF!</v>
      </c>
      <c r="S26" s="11">
        <f>+'Mgmt Food Budget'!G7+'Maint Food Budget'!G6</f>
        <v>15787.68</v>
      </c>
      <c r="T26" s="11">
        <f>+'Mgmt Food Actual'!G7+'Maint Food Actual'!G6</f>
        <v>19517.599999999999</v>
      </c>
      <c r="U26" s="11"/>
      <c r="V26" s="11">
        <f>+'Maint Food Actual'!G6+'Mgmt Food Actual'!G7</f>
        <v>19517.599999999999</v>
      </c>
      <c r="W26" s="11"/>
      <c r="X26" s="11"/>
      <c r="Y26" s="11"/>
      <c r="Z26" s="11">
        <f>+V26*0.9</f>
        <v>17565.84</v>
      </c>
      <c r="AA26" s="11">
        <f>+'Mgmt Food Actual'!G7+'Maint Food Actual'!G6</f>
        <v>19517.599999999999</v>
      </c>
      <c r="AB26" s="11"/>
      <c r="AC26" s="11"/>
      <c r="AD26" s="11"/>
    </row>
    <row r="27" spans="1:38" x14ac:dyDescent="0.25">
      <c r="A27" t="s">
        <v>18</v>
      </c>
      <c r="B27" s="8">
        <v>2772</v>
      </c>
      <c r="C27" s="11">
        <f>+'[1]Mgmt Food Pueblo'!G37+'[1]Main Food Pueblo'!G30</f>
        <v>2190.2399999999998</v>
      </c>
      <c r="D27" s="11">
        <f>+'[2]Mgmt Food Order'!G37+'[2]Maint Food Order'!G30</f>
        <v>1228.3799999999999</v>
      </c>
      <c r="E27" s="8">
        <v>3412.5</v>
      </c>
      <c r="F27" s="11">
        <v>2322.0100000000002</v>
      </c>
      <c r="G27" s="11">
        <f>+'Mgmt Food Budget'!G37+'Maint Food Budget'!G31</f>
        <v>5046.8</v>
      </c>
      <c r="H27" s="11" t="e">
        <f>+#REF!</f>
        <v>#REF!</v>
      </c>
      <c r="I27" s="11">
        <v>3105.75</v>
      </c>
      <c r="J27" s="11">
        <v>3245.97</v>
      </c>
      <c r="K27" s="11">
        <v>2830.53</v>
      </c>
      <c r="L27" s="11">
        <f>+'Maint Food Budget'!G31+'Mgmt Food Budget'!G37</f>
        <v>5046.8</v>
      </c>
      <c r="N27" s="8" t="e">
        <f>+#REF!+#REF!</f>
        <v>#REF!</v>
      </c>
      <c r="P27" s="11">
        <f>+'Mgmt Food Budget'!G37+'Maint Food Budget'!G31</f>
        <v>5046.8</v>
      </c>
      <c r="Q27" s="8" t="e">
        <f>+#REF!+#REF!</f>
        <v>#REF!</v>
      </c>
      <c r="S27" s="11">
        <f>+'Mgmt Food Budget'!G37+'Maint Food Budget'!G31</f>
        <v>5046.8</v>
      </c>
      <c r="T27" s="11">
        <f>+'Mgmt Food Actual'!G39+'Maint Food Actual'!G31</f>
        <v>9960.4</v>
      </c>
      <c r="U27" s="11"/>
      <c r="V27" s="11">
        <f>+'Maint Food Actual'!G31+'Mgmt Food Actual'!G39</f>
        <v>9960.4</v>
      </c>
      <c r="W27" s="11"/>
      <c r="X27" s="11"/>
      <c r="Y27" s="11"/>
      <c r="Z27" s="11">
        <f>+V27*0.9</f>
        <v>8964.36</v>
      </c>
      <c r="AA27" s="11">
        <f>+'Mgmt Food Actual'!G39+'Maint Food Actual'!G31</f>
        <v>9960.4</v>
      </c>
      <c r="AB27" s="11"/>
      <c r="AC27" s="11"/>
      <c r="AD27" s="11"/>
    </row>
    <row r="28" spans="1:38" x14ac:dyDescent="0.25">
      <c r="A28" t="s">
        <v>19</v>
      </c>
      <c r="B28" s="8">
        <v>16500</v>
      </c>
      <c r="C28" s="11">
        <f>+'[1]Mgmt Food Pueblo'!G16+'[1]Main Food Pueblo'!G11</f>
        <v>10098</v>
      </c>
      <c r="D28" s="8">
        <f>+'[2]Mgmt Food Order'!G16+'[2]Maint Food Order'!G11</f>
        <v>12460.8</v>
      </c>
      <c r="E28" s="8">
        <v>16312.5</v>
      </c>
      <c r="F28" s="11">
        <v>18804.38</v>
      </c>
      <c r="G28" s="11">
        <f>+'Mgmt Food Budget'!G16+'Maint Food Budget'!G12</f>
        <v>18376.800000000003</v>
      </c>
      <c r="H28" s="11" t="e">
        <f>+#REF!</f>
        <v>#REF!</v>
      </c>
      <c r="I28" s="11">
        <v>19957.98</v>
      </c>
      <c r="J28" s="11">
        <v>19248.27</v>
      </c>
      <c r="K28" s="11">
        <v>19373.73</v>
      </c>
      <c r="L28" s="11">
        <f>+'Maint Food Budget'!G12+'Mgmt Food Budget'!G16</f>
        <v>18376.800000000003</v>
      </c>
      <c r="N28" s="8" t="e">
        <f>+#REF!+#REF!</f>
        <v>#REF!</v>
      </c>
      <c r="P28" s="11">
        <f>+'Mgmt Food Budget'!G16+'Maint Food Budget'!G12</f>
        <v>18376.800000000003</v>
      </c>
      <c r="Q28" s="8" t="e">
        <f>+#REF!+#REF!</f>
        <v>#REF!</v>
      </c>
      <c r="S28" s="11">
        <f>+'Mgmt Food Budget'!G16+'Maint Food Budget'!G12</f>
        <v>18376.800000000003</v>
      </c>
      <c r="T28" s="11">
        <f>+'Mgmt Food Actual'!G16+'Maint Food Actual'!G12</f>
        <v>21496.639999999999</v>
      </c>
      <c r="U28" s="11"/>
      <c r="V28" s="11">
        <f>+'Maint Food Actual'!G12+'Mgmt Food Actual'!G16</f>
        <v>21496.639999999999</v>
      </c>
      <c r="W28" s="11"/>
      <c r="X28" s="11"/>
      <c r="Y28" s="11"/>
      <c r="Z28" s="11">
        <f>+V28*0.9</f>
        <v>19346.975999999999</v>
      </c>
      <c r="AA28" s="11">
        <f>+'Mgmt Food Actual'!G16+'Maint Food Actual'!G12</f>
        <v>21496.639999999999</v>
      </c>
      <c r="AB28" s="11"/>
      <c r="AC28" s="11"/>
      <c r="AD28" s="11"/>
    </row>
    <row r="29" spans="1:38" x14ac:dyDescent="0.25">
      <c r="A29" t="s">
        <v>20</v>
      </c>
      <c r="B29" s="8"/>
      <c r="C29" s="11"/>
      <c r="D29" s="8"/>
      <c r="E29" s="8"/>
      <c r="F29" s="11"/>
      <c r="G29" s="11"/>
      <c r="AA29" s="11"/>
    </row>
    <row r="30" spans="1:38" x14ac:dyDescent="0.25">
      <c r="A30" t="s">
        <v>21</v>
      </c>
      <c r="B30" s="15">
        <f>SUM(B26:B28)</f>
        <v>33222</v>
      </c>
      <c r="C30" s="11">
        <f>SUM(C26:C28)</f>
        <v>21441.239999999998</v>
      </c>
      <c r="D30" s="11">
        <f>SUM(D26:D28)</f>
        <v>22893.18</v>
      </c>
      <c r="E30" s="13">
        <f>SUM(E26:E28)</f>
        <v>37443.75</v>
      </c>
      <c r="F30" s="13">
        <f t="shared" ref="F30:Q30" si="2">SUM(F26:F29)</f>
        <v>38451.39</v>
      </c>
      <c r="G30" s="11">
        <f t="shared" si="2"/>
        <v>39211.279999999999</v>
      </c>
      <c r="H30" s="11" t="e">
        <f t="shared" si="2"/>
        <v>#REF!</v>
      </c>
      <c r="I30" s="11">
        <f t="shared" si="2"/>
        <v>38407.979999999996</v>
      </c>
      <c r="J30" s="11">
        <f t="shared" si="2"/>
        <v>40230.839999999997</v>
      </c>
      <c r="K30" s="11">
        <f t="shared" si="2"/>
        <v>40593.99</v>
      </c>
      <c r="L30" s="11">
        <f t="shared" si="2"/>
        <v>39211.279999999999</v>
      </c>
      <c r="N30" s="11" t="e">
        <f t="shared" si="2"/>
        <v>#REF!</v>
      </c>
      <c r="P30" s="11">
        <f t="shared" si="2"/>
        <v>39211.279999999999</v>
      </c>
      <c r="Q30" s="11" t="e">
        <f t="shared" si="2"/>
        <v>#REF!</v>
      </c>
      <c r="R30" s="11"/>
      <c r="S30" s="11">
        <f>SUM(S26:S29)</f>
        <v>39211.279999999999</v>
      </c>
      <c r="T30" s="11">
        <f>SUM(T26:T29)</f>
        <v>50974.64</v>
      </c>
      <c r="U30" s="11"/>
      <c r="V30" s="11">
        <f>SUM(V26:V29)</f>
        <v>50974.64</v>
      </c>
      <c r="W30" s="11"/>
      <c r="X30" s="11"/>
      <c r="Y30" s="11"/>
      <c r="Z30" s="11">
        <f>SUM(Z26:Z29)</f>
        <v>45877.175999999999</v>
      </c>
      <c r="AA30" s="11">
        <f>SUM(AA26:AA29)</f>
        <v>50974.64</v>
      </c>
      <c r="AB30" s="11"/>
      <c r="AC30" s="11"/>
      <c r="AD30" s="11"/>
      <c r="AK30">
        <f>50000*1.24</f>
        <v>62000</v>
      </c>
    </row>
    <row r="31" spans="1:38" ht="12.75" customHeight="1" x14ac:dyDescent="0.25">
      <c r="A31" t="s">
        <v>22</v>
      </c>
      <c r="B31" s="8"/>
      <c r="D31" s="8"/>
      <c r="E31" s="8"/>
    </row>
    <row r="32" spans="1:38" ht="12.75" customHeight="1" x14ac:dyDescent="0.25">
      <c r="A32" t="s">
        <v>23</v>
      </c>
      <c r="B32" s="8">
        <v>1617.8</v>
      </c>
      <c r="C32" s="11">
        <f>+'[2]Maint Food Budget'!G41</f>
        <v>1000</v>
      </c>
      <c r="D32" s="8">
        <f>637.5+168.75+100+175</f>
        <v>1081.25</v>
      </c>
      <c r="E32" s="8">
        <v>1000</v>
      </c>
      <c r="F32" s="11">
        <v>1732.5</v>
      </c>
      <c r="G32" s="11">
        <f>+'Maint Food Budget'!G46</f>
        <v>2593.75</v>
      </c>
      <c r="H32" s="11" t="e">
        <f>+#REF!</f>
        <v>#REF!</v>
      </c>
      <c r="I32" s="11">
        <v>2000</v>
      </c>
      <c r="J32" s="11">
        <v>1968</v>
      </c>
      <c r="K32" s="11">
        <v>1968</v>
      </c>
      <c r="L32" s="11">
        <f>+'Maint Food Budget'!G46</f>
        <v>2593.75</v>
      </c>
      <c r="N32" s="8" t="e">
        <f>+#REF!</f>
        <v>#REF!</v>
      </c>
      <c r="P32" s="11">
        <f>+'Maint Food Budget'!G46</f>
        <v>2593.75</v>
      </c>
      <c r="Q32" s="8" t="e">
        <f>+#REF!</f>
        <v>#REF!</v>
      </c>
      <c r="S32" s="11">
        <f>+'Maint Food Budget'!G46</f>
        <v>2593.75</v>
      </c>
      <c r="T32" s="11">
        <f>+'Maint Food Budget'!G46</f>
        <v>2593.75</v>
      </c>
      <c r="U32" s="11"/>
      <c r="V32" s="11">
        <v>2000</v>
      </c>
      <c r="W32" s="11"/>
      <c r="X32" s="11"/>
      <c r="Y32" s="11"/>
      <c r="Z32" s="11">
        <v>2000</v>
      </c>
      <c r="AA32" s="11">
        <v>2000</v>
      </c>
      <c r="AB32" s="11"/>
      <c r="AC32" s="11"/>
      <c r="AD32" s="11"/>
    </row>
    <row r="33" spans="1:36" ht="12.75" customHeight="1" x14ac:dyDescent="0.25">
      <c r="A33" t="s">
        <v>24</v>
      </c>
      <c r="B33" s="8"/>
      <c r="C33" s="13">
        <f t="shared" ref="C33:J33" si="3">+C30+C32</f>
        <v>22441.239999999998</v>
      </c>
      <c r="D33" s="13">
        <f t="shared" si="3"/>
        <v>23974.43</v>
      </c>
      <c r="E33" s="13">
        <f t="shared" si="3"/>
        <v>38443.75</v>
      </c>
      <c r="F33" s="13">
        <f t="shared" si="3"/>
        <v>40183.89</v>
      </c>
      <c r="G33" s="11">
        <f t="shared" si="3"/>
        <v>41805.03</v>
      </c>
      <c r="H33" s="11" t="e">
        <f t="shared" si="3"/>
        <v>#REF!</v>
      </c>
      <c r="I33" s="11">
        <f t="shared" si="3"/>
        <v>40407.979999999996</v>
      </c>
      <c r="J33" s="11">
        <f t="shared" si="3"/>
        <v>42198.84</v>
      </c>
      <c r="K33" s="11">
        <f>+K30+K32</f>
        <v>42561.99</v>
      </c>
      <c r="L33" s="11">
        <f>+L30+L32</f>
        <v>41805.03</v>
      </c>
    </row>
    <row r="34" spans="1:36" ht="12.75" customHeight="1" x14ac:dyDescent="0.25">
      <c r="A34" t="s">
        <v>25</v>
      </c>
      <c r="B34" s="8">
        <v>5198.28</v>
      </c>
      <c r="C34" s="13">
        <f>+'[2]Mgmt Food Budget'!G63</f>
        <v>8039.64</v>
      </c>
      <c r="D34" s="15">
        <v>4737.37</v>
      </c>
      <c r="E34" s="15">
        <v>8039.64</v>
      </c>
      <c r="F34" s="13">
        <v>9514.69</v>
      </c>
      <c r="G34" s="11">
        <f>+'Mgmt Food Budget'!G65</f>
        <v>13252</v>
      </c>
      <c r="H34" s="13">
        <v>6962.3</v>
      </c>
      <c r="I34" s="11">
        <v>9039.2099999999991</v>
      </c>
      <c r="J34" s="57">
        <v>9524</v>
      </c>
      <c r="K34" s="57">
        <v>9524</v>
      </c>
      <c r="L34" s="11">
        <f>+'Mgmt Food Budget'!G65</f>
        <v>13252</v>
      </c>
      <c r="N34" s="8" t="e">
        <f>+#REF!</f>
        <v>#REF!</v>
      </c>
      <c r="P34" s="11">
        <f>+'Mgmt Food Budget'!G65</f>
        <v>13252</v>
      </c>
      <c r="Q34" s="8" t="e">
        <f>+#REF!</f>
        <v>#REF!</v>
      </c>
      <c r="S34" s="11">
        <f>+'Mgmt Food Budget'!G65</f>
        <v>13252</v>
      </c>
      <c r="T34" s="11">
        <f>+'Mgmt Food Actual'!G68</f>
        <v>11390.5</v>
      </c>
      <c r="U34" s="11"/>
      <c r="V34" s="11">
        <f>+'Mgmt Food Actual'!G68</f>
        <v>11390.5</v>
      </c>
      <c r="W34" s="11"/>
      <c r="X34" s="11"/>
      <c r="Y34" s="11"/>
      <c r="Z34" s="11">
        <f>+V34*0.9</f>
        <v>10251.450000000001</v>
      </c>
      <c r="AA34" s="11">
        <f>+'Mgmt Food Actual'!G68</f>
        <v>11390.5</v>
      </c>
      <c r="AB34" s="11"/>
      <c r="AC34" s="11"/>
      <c r="AD34" s="11"/>
    </row>
    <row r="35" spans="1:36" ht="12.75" customHeight="1" x14ac:dyDescent="0.25">
      <c r="A35" t="s">
        <v>167</v>
      </c>
      <c r="B35" s="8"/>
      <c r="C35" s="13"/>
      <c r="D35" s="15"/>
      <c r="E35" s="15"/>
      <c r="F35" s="13"/>
      <c r="G35" s="11"/>
      <c r="H35" s="13"/>
      <c r="I35" s="11"/>
      <c r="J35" s="57"/>
      <c r="K35" s="57"/>
      <c r="L35" s="11"/>
      <c r="N35" s="8">
        <v>2500</v>
      </c>
      <c r="S35" s="11">
        <v>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6" ht="12.75" customHeight="1" x14ac:dyDescent="0.25">
      <c r="A36" t="s">
        <v>174</v>
      </c>
      <c r="B36" s="8"/>
      <c r="C36" s="13"/>
      <c r="D36" s="15"/>
      <c r="E36" s="15"/>
      <c r="F36" s="13"/>
      <c r="G36" s="11"/>
      <c r="H36" s="13"/>
      <c r="J36" s="13"/>
      <c r="K36" s="13"/>
      <c r="O36" s="8">
        <v>1602.28</v>
      </c>
      <c r="R36" s="8">
        <v>952</v>
      </c>
    </row>
    <row r="37" spans="1:36" ht="12.75" customHeight="1" x14ac:dyDescent="0.25">
      <c r="A37" t="s">
        <v>26</v>
      </c>
      <c r="B37" s="8"/>
      <c r="D37" s="8"/>
      <c r="E37" s="8"/>
    </row>
    <row r="38" spans="1:36" ht="12.75" customHeight="1" x14ac:dyDescent="0.25">
      <c r="A38" s="6" t="s">
        <v>27</v>
      </c>
      <c r="B38" s="8">
        <f>+B30+B32+B34</f>
        <v>40038.080000000002</v>
      </c>
      <c r="C38" s="13">
        <f>+'[1]Mgmt Food Pueblo'!G65+'[1]Main Food Pueblo'!G44</f>
        <v>30480.880000000001</v>
      </c>
      <c r="D38" s="13">
        <v>24185.279999999999</v>
      </c>
      <c r="E38" s="13">
        <f>+E33+E34</f>
        <v>46483.39</v>
      </c>
      <c r="F38" s="13">
        <f>+F33+F34</f>
        <v>49698.58</v>
      </c>
      <c r="G38" s="11">
        <f>+G33+G34</f>
        <v>55057.03</v>
      </c>
      <c r="H38" s="11" t="e">
        <f>+H33+H34+H36</f>
        <v>#REF!</v>
      </c>
      <c r="I38" s="11">
        <f>+I33+I34+I36</f>
        <v>49447.189999999995</v>
      </c>
      <c r="J38" s="11">
        <f>+J33+J34+J36</f>
        <v>51722.84</v>
      </c>
      <c r="K38" s="11">
        <f>+K33+K34+K36</f>
        <v>52085.99</v>
      </c>
      <c r="L38" s="11">
        <f>+L33+L34+L36</f>
        <v>55057.03</v>
      </c>
      <c r="M38" s="11" t="e">
        <f>+#REF!+#REF!</f>
        <v>#REF!</v>
      </c>
      <c r="N38" s="8">
        <v>27777</v>
      </c>
      <c r="O38" s="8">
        <f>22015.95+4158.99+O36</f>
        <v>27777.22</v>
      </c>
      <c r="P38" s="11">
        <f>+P30+P32+P34</f>
        <v>55057.03</v>
      </c>
      <c r="Q38" s="11" t="e">
        <f>+Q30+Q32+Q34</f>
        <v>#REF!</v>
      </c>
      <c r="R38" s="11">
        <f>40131.8+R36</f>
        <v>41083.800000000003</v>
      </c>
      <c r="S38" s="11">
        <f>+S30+S34+S35+S32</f>
        <v>55057.03</v>
      </c>
      <c r="T38" s="54">
        <v>65528.04</v>
      </c>
      <c r="U38" s="54">
        <v>65528.04</v>
      </c>
      <c r="V38" s="54">
        <v>71497.84</v>
      </c>
      <c r="W38" s="54">
        <v>68077.48</v>
      </c>
      <c r="X38" s="54">
        <v>68077.48</v>
      </c>
      <c r="Y38" s="54">
        <f>+AA38*0.85</f>
        <v>58580.810000000005</v>
      </c>
      <c r="Z38" s="54">
        <f>+Z30+Z32+Z34</f>
        <v>58128.626000000004</v>
      </c>
      <c r="AA38" s="54">
        <v>68918.600000000006</v>
      </c>
      <c r="AB38" s="54">
        <v>68918.600000000006</v>
      </c>
      <c r="AC38" s="54"/>
      <c r="AD38" s="54"/>
      <c r="AE38" s="11">
        <f>+V38+V51+V52</f>
        <v>79648.459999999992</v>
      </c>
    </row>
    <row r="39" spans="1:36" ht="12.75" customHeight="1" x14ac:dyDescent="0.25">
      <c r="A39" t="s">
        <v>151</v>
      </c>
      <c r="B39" s="8">
        <v>220</v>
      </c>
      <c r="C39" s="8">
        <v>0</v>
      </c>
      <c r="D39" s="8">
        <v>250</v>
      </c>
      <c r="E39" s="8">
        <v>500</v>
      </c>
      <c r="F39" s="8">
        <v>150</v>
      </c>
      <c r="G39" s="8">
        <v>500</v>
      </c>
      <c r="H39" s="8">
        <f>785+100+290.99</f>
        <v>1175.99</v>
      </c>
      <c r="J39" s="8">
        <v>630</v>
      </c>
      <c r="K39" s="8">
        <v>525</v>
      </c>
      <c r="L39" s="8">
        <v>525</v>
      </c>
      <c r="M39" s="8">
        <v>525</v>
      </c>
      <c r="N39" s="8">
        <v>1550</v>
      </c>
      <c r="Q39" s="8">
        <v>1200</v>
      </c>
      <c r="R39" s="8">
        <v>1200</v>
      </c>
      <c r="T39" s="8">
        <v>535.5</v>
      </c>
      <c r="U39" s="8">
        <v>535.5</v>
      </c>
      <c r="V39" s="105">
        <v>1180</v>
      </c>
      <c r="W39" s="105"/>
      <c r="X39" s="105"/>
      <c r="Y39" s="105"/>
      <c r="Z39" s="105">
        <v>1180</v>
      </c>
      <c r="AA39" s="105">
        <v>0</v>
      </c>
      <c r="AB39" s="105"/>
      <c r="AC39" s="105"/>
      <c r="AD39" s="105"/>
      <c r="AF39" s="144" t="s">
        <v>413</v>
      </c>
      <c r="AG39" s="144"/>
      <c r="AH39" s="144"/>
    </row>
    <row r="40" spans="1:36" ht="12.75" customHeight="1" x14ac:dyDescent="0.25">
      <c r="A40" t="s">
        <v>379</v>
      </c>
      <c r="C40" s="8">
        <v>1500</v>
      </c>
      <c r="D40" s="8">
        <v>1411.65</v>
      </c>
      <c r="E40" s="8"/>
      <c r="H40" s="11">
        <v>1422.08</v>
      </c>
      <c r="J40" s="11"/>
      <c r="K40" s="11"/>
      <c r="N40" s="60">
        <v>484.43</v>
      </c>
      <c r="T40" s="11">
        <v>980.4</v>
      </c>
      <c r="U40" s="11">
        <v>980.4</v>
      </c>
      <c r="V40" s="11">
        <v>1753.06</v>
      </c>
      <c r="W40" s="11">
        <v>2000</v>
      </c>
      <c r="X40" s="11">
        <v>0</v>
      </c>
      <c r="Y40" s="11">
        <v>2000</v>
      </c>
      <c r="Z40" s="11">
        <v>1753.06</v>
      </c>
      <c r="AA40" s="11">
        <v>1957.49</v>
      </c>
      <c r="AB40" s="11"/>
      <c r="AC40" s="11"/>
      <c r="AD40" s="11"/>
      <c r="AF40" s="95" t="s">
        <v>79</v>
      </c>
      <c r="AG40" s="95" t="s">
        <v>214</v>
      </c>
      <c r="AH40" s="95" t="s">
        <v>78</v>
      </c>
    </row>
    <row r="41" spans="1:36" ht="12.75" customHeight="1" x14ac:dyDescent="0.25">
      <c r="A41" t="s">
        <v>172</v>
      </c>
      <c r="C41" s="8"/>
      <c r="D41" s="8"/>
      <c r="E41" s="8"/>
      <c r="H41" s="11"/>
      <c r="J41" s="11"/>
      <c r="K41" s="11"/>
      <c r="N41" s="60">
        <v>126</v>
      </c>
      <c r="O41" s="8">
        <v>126</v>
      </c>
      <c r="AF41" s="72">
        <v>40</v>
      </c>
      <c r="AG41" s="51">
        <v>14</v>
      </c>
      <c r="AH41" s="72">
        <f>+AF41*AG41</f>
        <v>560</v>
      </c>
    </row>
    <row r="42" spans="1:36" ht="12.75" customHeight="1" x14ac:dyDescent="0.25">
      <c r="A42" t="s">
        <v>152</v>
      </c>
      <c r="C42" s="8"/>
      <c r="D42" s="8"/>
      <c r="E42" s="8"/>
      <c r="H42" s="11">
        <v>679.7</v>
      </c>
      <c r="J42" s="11"/>
      <c r="K42" s="11"/>
      <c r="T42" s="8">
        <v>740</v>
      </c>
      <c r="U42" s="8">
        <v>740</v>
      </c>
      <c r="V42" s="8">
        <f>440+29+29</f>
        <v>498</v>
      </c>
      <c r="W42" s="8">
        <v>480</v>
      </c>
      <c r="X42" s="8">
        <v>480</v>
      </c>
      <c r="Y42" s="8">
        <v>500</v>
      </c>
      <c r="Z42" s="8">
        <f>440+29+29</f>
        <v>498</v>
      </c>
      <c r="AA42" s="8">
        <v>480</v>
      </c>
      <c r="AB42" s="8"/>
      <c r="AC42" s="8"/>
      <c r="AD42" s="8"/>
      <c r="AF42" s="96">
        <v>25</v>
      </c>
      <c r="AG42" s="97">
        <v>4</v>
      </c>
      <c r="AH42" s="72">
        <f>+AG42*AF42</f>
        <v>100</v>
      </c>
    </row>
    <row r="43" spans="1:36" ht="12.75" customHeight="1" x14ac:dyDescent="0.25">
      <c r="A43" t="s">
        <v>179</v>
      </c>
      <c r="B43" s="8">
        <v>1000</v>
      </c>
      <c r="C43" s="8"/>
      <c r="D43" s="8"/>
      <c r="E43" s="8"/>
      <c r="H43" s="11">
        <v>500</v>
      </c>
      <c r="J43" s="11">
        <v>720</v>
      </c>
      <c r="K43" s="11">
        <v>720</v>
      </c>
      <c r="L43" s="11">
        <v>720</v>
      </c>
      <c r="M43" s="11">
        <v>720</v>
      </c>
      <c r="N43" s="8">
        <v>315</v>
      </c>
      <c r="O43" s="11">
        <v>310</v>
      </c>
      <c r="Q43" s="67">
        <v>50</v>
      </c>
      <c r="R43" s="67">
        <v>50</v>
      </c>
      <c r="AF43" s="72">
        <f>SUM(AF41:AF42)</f>
        <v>65</v>
      </c>
      <c r="AG43" s="51">
        <f>SUM(AG41:AG42)</f>
        <v>18</v>
      </c>
      <c r="AH43" s="72">
        <f>SUM(AH41:AH42)</f>
        <v>660</v>
      </c>
    </row>
    <row r="44" spans="1:36" ht="12.75" customHeight="1" x14ac:dyDescent="0.25">
      <c r="A44" t="s">
        <v>28</v>
      </c>
      <c r="B44" s="8">
        <v>525</v>
      </c>
      <c r="C44" s="8">
        <v>500</v>
      </c>
      <c r="D44" s="8">
        <v>170</v>
      </c>
      <c r="E44" s="8"/>
      <c r="H44" s="11"/>
      <c r="J44" s="11"/>
      <c r="K44" s="11"/>
      <c r="AF44" s="8"/>
    </row>
    <row r="45" spans="1:36" ht="12.75" customHeight="1" x14ac:dyDescent="0.25">
      <c r="A45" t="s">
        <v>150</v>
      </c>
      <c r="B45" s="8"/>
      <c r="C45" s="8"/>
      <c r="D45" s="8"/>
      <c r="E45" s="8"/>
      <c r="H45" s="11">
        <v>823.32</v>
      </c>
      <c r="J45" s="11"/>
      <c r="K45" s="11"/>
      <c r="Q45" s="8">
        <v>1700</v>
      </c>
      <c r="R45" s="8">
        <v>1700</v>
      </c>
      <c r="T45" s="8">
        <v>57.17</v>
      </c>
      <c r="U45" s="8">
        <v>57.17</v>
      </c>
      <c r="V45" s="67">
        <v>197.06</v>
      </c>
      <c r="W45" s="67">
        <v>200</v>
      </c>
      <c r="X45" s="67">
        <v>200</v>
      </c>
      <c r="Y45" s="67">
        <v>200</v>
      </c>
      <c r="Z45" s="67">
        <v>197.06</v>
      </c>
      <c r="AA45" s="67">
        <v>0</v>
      </c>
      <c r="AB45" s="67"/>
      <c r="AC45" s="67"/>
      <c r="AD45" s="67"/>
      <c r="AF45" s="145" t="s">
        <v>226</v>
      </c>
      <c r="AG45" s="145"/>
      <c r="AJ45">
        <v>1042</v>
      </c>
    </row>
    <row r="46" spans="1:36" ht="12.75" customHeight="1" x14ac:dyDescent="0.25">
      <c r="A46" t="s">
        <v>29</v>
      </c>
      <c r="B46" s="8">
        <v>3700</v>
      </c>
      <c r="C46" s="8">
        <v>2000</v>
      </c>
      <c r="D46" s="8">
        <v>895</v>
      </c>
      <c r="E46" s="8">
        <v>2000</v>
      </c>
      <c r="F46" s="8">
        <v>2735</v>
      </c>
      <c r="G46" s="8">
        <v>2500</v>
      </c>
      <c r="H46" s="11">
        <f>275+650</f>
        <v>925</v>
      </c>
      <c r="I46" s="11">
        <v>2500</v>
      </c>
      <c r="J46" s="11">
        <v>1630</v>
      </c>
      <c r="K46" s="11">
        <v>1630</v>
      </c>
      <c r="L46" s="11">
        <v>2000</v>
      </c>
      <c r="M46" s="11">
        <v>1000</v>
      </c>
      <c r="N46" s="8">
        <v>850</v>
      </c>
      <c r="O46" s="8">
        <v>850</v>
      </c>
      <c r="P46" s="8">
        <v>1000</v>
      </c>
      <c r="Q46" s="8">
        <v>850</v>
      </c>
      <c r="R46" s="8">
        <v>850</v>
      </c>
      <c r="S46" s="8">
        <v>1000</v>
      </c>
      <c r="T46" s="8">
        <v>1000</v>
      </c>
      <c r="U46" s="8">
        <v>1000</v>
      </c>
      <c r="V46" s="8">
        <f>+AG53</f>
        <v>2050</v>
      </c>
      <c r="W46" s="8">
        <v>2050</v>
      </c>
      <c r="X46" s="8">
        <f>+AG53</f>
        <v>2050</v>
      </c>
      <c r="Y46" s="8">
        <v>2200</v>
      </c>
      <c r="Z46" s="8">
        <v>2190</v>
      </c>
      <c r="AA46" s="8">
        <v>2200</v>
      </c>
      <c r="AB46" s="8"/>
      <c r="AC46" s="8"/>
      <c r="AD46" s="8"/>
      <c r="AF46" s="51">
        <v>11</v>
      </c>
      <c r="AG46" s="51">
        <v>480</v>
      </c>
    </row>
    <row r="47" spans="1:36" ht="12.75" customHeight="1" x14ac:dyDescent="0.25">
      <c r="A47" s="6" t="s">
        <v>30</v>
      </c>
      <c r="B47" s="12">
        <f>SUM(B38:B46)</f>
        <v>45483.08</v>
      </c>
      <c r="C47" s="13">
        <f>SUM(C38:C46)</f>
        <v>34480.880000000005</v>
      </c>
      <c r="D47" s="12">
        <f>+D34+D38+D39+D40+D44+D46</f>
        <v>31649.3</v>
      </c>
      <c r="E47" s="15">
        <f>+E38+E39+E46</f>
        <v>48983.39</v>
      </c>
      <c r="F47" s="15">
        <f>+F38+F39+F46</f>
        <v>52583.58</v>
      </c>
      <c r="G47" s="11">
        <f>+G38+G39+G40+G43+G44+G46</f>
        <v>58057.03</v>
      </c>
      <c r="H47" s="11" t="e">
        <f>+H38+H39+H40+H43+H46+H42+H45</f>
        <v>#REF!</v>
      </c>
      <c r="I47" s="11">
        <f>+I38+I39+I40+I43+I46+I42+I45</f>
        <v>51947.189999999995</v>
      </c>
      <c r="J47" s="11">
        <f>SUM(J38:J46)</f>
        <v>54702.84</v>
      </c>
      <c r="K47" s="11">
        <f>SUM(K38:K46)</f>
        <v>54960.99</v>
      </c>
      <c r="L47" s="11">
        <f>SUM(L38:L46)</f>
        <v>58302.03</v>
      </c>
      <c r="M47" s="11" t="e">
        <f>SUM(M38:M46)</f>
        <v>#REF!</v>
      </c>
      <c r="N47" s="11">
        <f>SUM(N38:N46)</f>
        <v>31102.43</v>
      </c>
      <c r="O47" s="54">
        <f>+O38+N39+N40+N41+850+O43</f>
        <v>31097.65</v>
      </c>
      <c r="P47" s="54">
        <f>SUM(P38:P46)</f>
        <v>56057.03</v>
      </c>
      <c r="Q47" s="54" t="e">
        <f>SUM(Q38:Q46)</f>
        <v>#REF!</v>
      </c>
      <c r="R47" s="54">
        <f>SUM(R38:R46)</f>
        <v>44883.8</v>
      </c>
      <c r="S47" s="11">
        <f>S46+S38</f>
        <v>56057.03</v>
      </c>
      <c r="T47" s="11">
        <f>SUM(T38:T46)</f>
        <v>68841.11</v>
      </c>
      <c r="U47" s="11">
        <f>SUM(U38:U46)</f>
        <v>68841.11</v>
      </c>
      <c r="V47" s="11">
        <f>SUM(V38:V46)</f>
        <v>77175.959999999992</v>
      </c>
      <c r="W47" s="11">
        <f>SUM(W38:W46)</f>
        <v>72807.48</v>
      </c>
      <c r="X47" s="11">
        <f>SUM(X38:X46)</f>
        <v>70807.48</v>
      </c>
      <c r="Y47" s="11">
        <f>+Y38+Y40+Y42+Y45</f>
        <v>61280.810000000005</v>
      </c>
      <c r="Z47" s="11">
        <f>SUM(Z38:Z45)</f>
        <v>61756.745999999999</v>
      </c>
      <c r="AA47" s="54">
        <f>SUM(AA38:AA46)</f>
        <v>73556.090000000011</v>
      </c>
      <c r="AB47" s="11"/>
      <c r="AC47" s="11"/>
      <c r="AD47" s="11"/>
      <c r="AF47" s="51"/>
      <c r="AG47" s="98"/>
      <c r="AJ47">
        <f>+AJ45*0.07</f>
        <v>72.940000000000012</v>
      </c>
    </row>
    <row r="48" spans="1:36" ht="12.75" customHeight="1" x14ac:dyDescent="0.25">
      <c r="A48" s="6"/>
      <c r="B48" s="8"/>
      <c r="D48" s="8"/>
      <c r="E48" s="8"/>
      <c r="AF48" s="51"/>
      <c r="AG48" s="51">
        <f>SUM(AG46:AG47)</f>
        <v>480</v>
      </c>
    </row>
    <row r="49" spans="1:36" ht="12.75" customHeight="1" x14ac:dyDescent="0.25">
      <c r="B49" s="8"/>
      <c r="D49" s="8"/>
      <c r="E49" s="8"/>
      <c r="AJ49">
        <f>+AJ45+AJ47</f>
        <v>1114.94</v>
      </c>
    </row>
    <row r="50" spans="1:36" ht="12.75" customHeight="1" x14ac:dyDescent="0.25">
      <c r="A50" s="6" t="s">
        <v>31</v>
      </c>
      <c r="B50" s="8"/>
      <c r="D50" s="8"/>
      <c r="E50" s="8"/>
      <c r="AF50" s="146" t="s">
        <v>310</v>
      </c>
      <c r="AG50" s="147"/>
    </row>
    <row r="51" spans="1:36" x14ac:dyDescent="0.25">
      <c r="A51" t="s">
        <v>32</v>
      </c>
      <c r="B51" s="8">
        <v>7207</v>
      </c>
      <c r="D51" s="8">
        <v>2440</v>
      </c>
      <c r="E51" s="8">
        <v>3000</v>
      </c>
      <c r="F51" s="8">
        <v>3175.75</v>
      </c>
      <c r="G51" s="8">
        <v>3000</v>
      </c>
      <c r="H51" s="8">
        <v>2275</v>
      </c>
      <c r="I51" s="8">
        <v>3660</v>
      </c>
      <c r="J51" s="8">
        <v>4907.2</v>
      </c>
      <c r="K51" s="8">
        <v>5074.12</v>
      </c>
      <c r="L51" s="8">
        <v>3380</v>
      </c>
      <c r="N51" s="8">
        <v>712.85</v>
      </c>
      <c r="O51" s="8">
        <f>412.5+246.85+53.5</f>
        <v>712.85</v>
      </c>
      <c r="P51" s="8">
        <v>4000</v>
      </c>
      <c r="Q51" s="66"/>
      <c r="R51" s="67">
        <v>2621.6</v>
      </c>
      <c r="S51" s="8">
        <v>5000</v>
      </c>
      <c r="T51" s="8">
        <v>11837.75</v>
      </c>
      <c r="U51" s="8">
        <v>9000</v>
      </c>
      <c r="V51" s="67">
        <v>9623.84</v>
      </c>
      <c r="W51" s="67"/>
      <c r="X51" s="67"/>
      <c r="Y51" s="67"/>
      <c r="Z51" s="67">
        <v>9623.84</v>
      </c>
      <c r="AA51" s="67">
        <v>10155.92</v>
      </c>
      <c r="AB51" s="105">
        <v>10155</v>
      </c>
      <c r="AC51" s="67">
        <v>17155</v>
      </c>
      <c r="AD51" s="67"/>
      <c r="AF51" s="51" t="s">
        <v>311</v>
      </c>
      <c r="AG51" s="72">
        <v>550</v>
      </c>
    </row>
    <row r="52" spans="1:36" x14ac:dyDescent="0.25">
      <c r="A52" s="14" t="s">
        <v>288</v>
      </c>
      <c r="B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  <c r="Q52" s="66"/>
      <c r="R52" s="67"/>
      <c r="S52" s="8"/>
      <c r="T52" s="8">
        <v>-1331.1</v>
      </c>
      <c r="U52" s="8">
        <v>-1331.1</v>
      </c>
      <c r="V52" s="67">
        <v>-1473.22</v>
      </c>
      <c r="W52" s="67"/>
      <c r="X52" s="67">
        <v>-811</v>
      </c>
      <c r="Y52" s="67"/>
      <c r="Z52" s="67">
        <v>-1473.22</v>
      </c>
      <c r="AA52" s="67">
        <v>-648.13</v>
      </c>
      <c r="AB52" s="67"/>
      <c r="AC52" s="67">
        <f>+AA51/AC51</f>
        <v>0.59200932672690176</v>
      </c>
      <c r="AD52" s="67"/>
      <c r="AF52" s="51" t="s">
        <v>312</v>
      </c>
      <c r="AG52" s="72">
        <v>1500</v>
      </c>
    </row>
    <row r="53" spans="1:36" x14ac:dyDescent="0.25">
      <c r="A53" s="14" t="s">
        <v>33</v>
      </c>
      <c r="B53" s="8">
        <v>114.82</v>
      </c>
      <c r="D53" s="8"/>
      <c r="E53" s="8"/>
      <c r="H53" s="8">
        <f>9*10</f>
        <v>90</v>
      </c>
      <c r="P53" s="8"/>
      <c r="R53" s="67"/>
      <c r="AC53" s="11">
        <f>+AC51-AA51</f>
        <v>6999.08</v>
      </c>
      <c r="AF53" s="51"/>
      <c r="AG53" s="73">
        <f>SUM(AG51:AG52)</f>
        <v>2050</v>
      </c>
    </row>
    <row r="54" spans="1:36" x14ac:dyDescent="0.25">
      <c r="A54" t="s">
        <v>34</v>
      </c>
      <c r="B54" s="8"/>
      <c r="D54" s="8">
        <v>5880</v>
      </c>
      <c r="E54" s="8"/>
      <c r="H54" s="8"/>
      <c r="L54" s="47" t="e">
        <f>+#REF!</f>
        <v>#REF!</v>
      </c>
      <c r="N54" s="47">
        <v>8511.7999999999993</v>
      </c>
      <c r="O54" s="8">
        <v>8511.7999999999993</v>
      </c>
      <c r="P54" s="8">
        <v>0</v>
      </c>
      <c r="R54" s="67"/>
      <c r="S54" s="8">
        <v>0</v>
      </c>
      <c r="AC54" s="11">
        <f>+AC53/AB51</f>
        <v>0.6892250123092073</v>
      </c>
    </row>
    <row r="55" spans="1:36" x14ac:dyDescent="0.25">
      <c r="A55" t="s">
        <v>35</v>
      </c>
      <c r="B55" s="8">
        <v>1872</v>
      </c>
      <c r="D55" s="8">
        <v>576</v>
      </c>
      <c r="E55" s="8">
        <v>600</v>
      </c>
      <c r="F55" s="8">
        <v>1250</v>
      </c>
      <c r="G55" s="8">
        <v>600</v>
      </c>
      <c r="H55" s="8">
        <f>40*40</f>
        <v>1600</v>
      </c>
      <c r="I55" s="8">
        <v>1750</v>
      </c>
      <c r="J55" s="8">
        <v>1750</v>
      </c>
      <c r="K55" s="8"/>
      <c r="L55" s="8">
        <v>1120</v>
      </c>
      <c r="N55" s="8">
        <v>805</v>
      </c>
      <c r="O55" s="8">
        <v>805</v>
      </c>
      <c r="P55" s="8">
        <v>800</v>
      </c>
      <c r="Q55" s="66"/>
      <c r="R55" s="67">
        <v>756.25</v>
      </c>
      <c r="S55" s="8">
        <v>0</v>
      </c>
      <c r="AC55" s="11"/>
    </row>
    <row r="56" spans="1:36" x14ac:dyDescent="0.25">
      <c r="A56" t="s">
        <v>36</v>
      </c>
      <c r="B56" s="8"/>
      <c r="D56" s="8">
        <v>43.59</v>
      </c>
      <c r="E56" s="8">
        <v>50</v>
      </c>
      <c r="G56">
        <v>50</v>
      </c>
      <c r="H56" s="8"/>
      <c r="J56" s="8"/>
      <c r="K56" s="8"/>
      <c r="N56" s="8">
        <v>28</v>
      </c>
      <c r="O56" s="8">
        <v>28</v>
      </c>
      <c r="P56" s="8">
        <v>50</v>
      </c>
      <c r="R56" s="67"/>
      <c r="AC56" t="s">
        <v>192</v>
      </c>
    </row>
    <row r="57" spans="1:36" x14ac:dyDescent="0.25">
      <c r="A57" s="6" t="s">
        <v>37</v>
      </c>
      <c r="B57" s="15">
        <f>SUM(B51:B56)</f>
        <v>9193.82</v>
      </c>
      <c r="C57" s="8">
        <v>7500</v>
      </c>
      <c r="D57" s="8">
        <f>SUM(D51:D56)</f>
        <v>8939.59</v>
      </c>
      <c r="E57" s="8">
        <f>SUM(E51:E56)</f>
        <v>3650</v>
      </c>
      <c r="F57" s="8">
        <f>SUM(F51:F56)</f>
        <v>4425.75</v>
      </c>
      <c r="G57" s="8">
        <f>SUM(G51:G56)</f>
        <v>3650</v>
      </c>
      <c r="H57" s="47" t="e">
        <f>+#REF!</f>
        <v>#REF!</v>
      </c>
      <c r="I57" s="11">
        <f>+I51+I55</f>
        <v>5410</v>
      </c>
      <c r="J57" s="11">
        <f>+J51+J55</f>
        <v>6657.2</v>
      </c>
      <c r="K57" s="11">
        <f>+K51+K55</f>
        <v>5074.12</v>
      </c>
      <c r="L57" s="11" t="e">
        <f>SUM(L51:L56)</f>
        <v>#REF!</v>
      </c>
      <c r="M57" s="11">
        <v>13620</v>
      </c>
      <c r="N57" s="11">
        <f>SUM(N51:N56)</f>
        <v>10057.65</v>
      </c>
      <c r="O57" s="54">
        <f>SUM(O51:O56)</f>
        <v>10057.65</v>
      </c>
      <c r="P57" s="54">
        <f>SUM(P51:P56)</f>
        <v>4850</v>
      </c>
      <c r="Q57" s="69">
        <v>2745</v>
      </c>
      <c r="R57" s="75">
        <f t="shared" ref="R57:AA57" si="4">SUM(R51:R56)</f>
        <v>3377.85</v>
      </c>
      <c r="S57" s="75">
        <f t="shared" si="4"/>
        <v>5000</v>
      </c>
      <c r="T57" s="75">
        <f t="shared" si="4"/>
        <v>10506.65</v>
      </c>
      <c r="U57" s="75">
        <f t="shared" si="4"/>
        <v>7668.9</v>
      </c>
      <c r="V57" s="75">
        <f t="shared" si="4"/>
        <v>8150.62</v>
      </c>
      <c r="W57" s="75">
        <v>13321</v>
      </c>
      <c r="X57" s="75">
        <f>13045.95-811</f>
        <v>12234.95</v>
      </c>
      <c r="Y57" s="75">
        <v>10000</v>
      </c>
      <c r="Z57" s="75">
        <f t="shared" si="4"/>
        <v>8150.62</v>
      </c>
      <c r="AA57" s="75">
        <f t="shared" si="4"/>
        <v>9507.7900000000009</v>
      </c>
      <c r="AB57" s="75"/>
      <c r="AC57" s="75">
        <v>13307.94</v>
      </c>
      <c r="AD57" s="75" t="s">
        <v>420</v>
      </c>
      <c r="AF57">
        <f>14139.89-818.21</f>
        <v>13321.68</v>
      </c>
    </row>
    <row r="58" spans="1:36" x14ac:dyDescent="0.25">
      <c r="B58" s="8"/>
      <c r="D58" s="8"/>
      <c r="E58" s="8"/>
      <c r="O58" s="11"/>
      <c r="S58" s="8"/>
      <c r="X58" s="11"/>
      <c r="AC58">
        <v>1200</v>
      </c>
      <c r="AD58" t="s">
        <v>415</v>
      </c>
    </row>
    <row r="59" spans="1:36" x14ac:dyDescent="0.25">
      <c r="A59" s="6" t="s">
        <v>38</v>
      </c>
      <c r="B59" s="8"/>
      <c r="D59" s="8"/>
      <c r="E59" s="8"/>
      <c r="S59" s="8"/>
      <c r="AC59">
        <v>192.15</v>
      </c>
      <c r="AD59" t="s">
        <v>416</v>
      </c>
    </row>
    <row r="60" spans="1:36" x14ac:dyDescent="0.25">
      <c r="A60" t="s">
        <v>39</v>
      </c>
      <c r="B60" s="8"/>
      <c r="D60" s="8"/>
      <c r="E60" s="8"/>
      <c r="H60" s="8">
        <v>0</v>
      </c>
      <c r="J60" s="8"/>
      <c r="K60" s="8"/>
      <c r="S60" s="8"/>
      <c r="AC60" s="11">
        <f>+AC57-AC58+AC59</f>
        <v>12300.09</v>
      </c>
      <c r="AD60" t="s">
        <v>417</v>
      </c>
    </row>
    <row r="61" spans="1:36" x14ac:dyDescent="0.25">
      <c r="A61" t="s">
        <v>40</v>
      </c>
      <c r="B61" s="8">
        <f>250+106</f>
        <v>356</v>
      </c>
      <c r="C61">
        <v>150</v>
      </c>
      <c r="D61" s="8">
        <v>120</v>
      </c>
      <c r="E61" s="8">
        <v>150</v>
      </c>
      <c r="H61" s="8">
        <v>0</v>
      </c>
      <c r="J61" s="8"/>
      <c r="K61" s="8"/>
      <c r="S61" s="8"/>
      <c r="AC61">
        <v>837.32</v>
      </c>
      <c r="AD61" t="s">
        <v>418</v>
      </c>
    </row>
    <row r="62" spans="1:36" x14ac:dyDescent="0.25">
      <c r="A62" t="s">
        <v>41</v>
      </c>
      <c r="B62" s="8"/>
      <c r="D62" s="8"/>
      <c r="E62" s="8"/>
      <c r="H62" s="8">
        <v>0</v>
      </c>
      <c r="J62" s="8"/>
      <c r="K62" s="8"/>
      <c r="S62" s="8"/>
      <c r="AC62" s="11">
        <f>+AC60+AC61</f>
        <v>13137.41</v>
      </c>
      <c r="AD62" t="s">
        <v>419</v>
      </c>
    </row>
    <row r="63" spans="1:36" x14ac:dyDescent="0.25">
      <c r="A63" t="s">
        <v>42</v>
      </c>
      <c r="B63" s="8">
        <f>1299.1+167.34</f>
        <v>1466.4399999999998</v>
      </c>
      <c r="C63">
        <v>1500</v>
      </c>
      <c r="D63" s="8">
        <v>1466</v>
      </c>
      <c r="E63" s="8">
        <v>1500</v>
      </c>
      <c r="F63" s="8">
        <v>1493.5</v>
      </c>
      <c r="H63" s="8">
        <v>1798.85</v>
      </c>
      <c r="I63" s="8">
        <v>1800</v>
      </c>
      <c r="J63" s="8">
        <v>1968</v>
      </c>
      <c r="K63" s="8">
        <v>1968</v>
      </c>
      <c r="L63" s="8">
        <v>2000</v>
      </c>
      <c r="M63" s="8">
        <v>1968</v>
      </c>
      <c r="N63" s="8">
        <v>1968</v>
      </c>
      <c r="O63" s="8">
        <v>1968</v>
      </c>
      <c r="Q63" s="8">
        <v>1857.88</v>
      </c>
      <c r="R63" s="8">
        <v>1857.88</v>
      </c>
      <c r="S63" s="8"/>
      <c r="T63" s="8">
        <v>1744.56</v>
      </c>
      <c r="U63" s="8">
        <v>1744.56</v>
      </c>
      <c r="V63" s="8">
        <v>1319.75</v>
      </c>
      <c r="W63" s="8">
        <v>1564.59</v>
      </c>
      <c r="X63" s="8">
        <v>1564.59</v>
      </c>
      <c r="Y63" s="8">
        <v>1600</v>
      </c>
      <c r="Z63" s="8">
        <f t="shared" ref="Z63:Z68" si="5">+V63*0.9</f>
        <v>1187.7750000000001</v>
      </c>
      <c r="AA63" s="8">
        <v>1623.9</v>
      </c>
      <c r="AB63" s="8"/>
      <c r="AC63" s="8"/>
      <c r="AD63" s="8"/>
    </row>
    <row r="64" spans="1:36" x14ac:dyDescent="0.25">
      <c r="A64" t="s">
        <v>43</v>
      </c>
      <c r="B64" s="8">
        <f>470+570</f>
        <v>1040</v>
      </c>
      <c r="C64">
        <v>1000</v>
      </c>
      <c r="D64" s="8">
        <v>790</v>
      </c>
      <c r="E64" s="8">
        <v>1000</v>
      </c>
      <c r="F64" s="8">
        <v>540</v>
      </c>
      <c r="H64" s="8">
        <v>900</v>
      </c>
      <c r="I64" s="8">
        <v>900</v>
      </c>
      <c r="J64" s="8">
        <v>558.67999999999995</v>
      </c>
      <c r="K64" s="8">
        <v>558.67999999999995</v>
      </c>
      <c r="L64" s="8">
        <v>700</v>
      </c>
      <c r="M64" s="8">
        <v>724.5</v>
      </c>
      <c r="N64" s="8">
        <v>724.5</v>
      </c>
      <c r="O64" s="8">
        <v>724.5</v>
      </c>
      <c r="Q64" s="8">
        <v>300</v>
      </c>
      <c r="R64" s="8">
        <v>300</v>
      </c>
      <c r="S64" s="8"/>
      <c r="T64" s="8">
        <v>704.5</v>
      </c>
      <c r="U64" s="8">
        <v>704.5</v>
      </c>
      <c r="V64" s="8">
        <v>814.5</v>
      </c>
      <c r="W64" s="8">
        <v>1045</v>
      </c>
      <c r="X64" s="8">
        <v>1045</v>
      </c>
      <c r="Y64" s="8">
        <v>900</v>
      </c>
      <c r="Z64" s="8">
        <f t="shared" si="5"/>
        <v>733.05000000000007</v>
      </c>
      <c r="AA64" s="8">
        <v>860</v>
      </c>
      <c r="AB64" s="8"/>
      <c r="AC64" s="8"/>
      <c r="AD64" s="8"/>
    </row>
    <row r="65" spans="1:36" x14ac:dyDescent="0.25">
      <c r="A65" t="s">
        <v>44</v>
      </c>
      <c r="B65" s="8">
        <f>176.61+100</f>
        <v>276.61</v>
      </c>
      <c r="C65">
        <v>300</v>
      </c>
      <c r="D65" s="8">
        <v>167.07</v>
      </c>
      <c r="E65" s="8">
        <v>300</v>
      </c>
      <c r="F65" s="8">
        <v>260.33999999999997</v>
      </c>
      <c r="H65" s="8">
        <f>135.03+31.2</f>
        <v>166.23</v>
      </c>
      <c r="I65" s="8">
        <v>175</v>
      </c>
      <c r="J65" s="8">
        <f>191.06+92</f>
        <v>283.06</v>
      </c>
      <c r="K65" s="8">
        <f>191.06+92</f>
        <v>283.06</v>
      </c>
      <c r="L65" s="8">
        <v>300</v>
      </c>
      <c r="M65" s="8">
        <f>164+96</f>
        <v>260</v>
      </c>
      <c r="N65" s="8">
        <f>164+96</f>
        <v>260</v>
      </c>
      <c r="O65" s="8">
        <f>164+96</f>
        <v>260</v>
      </c>
      <c r="Q65" s="8">
        <f>162.74+98</f>
        <v>260.74</v>
      </c>
      <c r="R65" s="8">
        <f>162.74+98</f>
        <v>260.74</v>
      </c>
      <c r="S65" s="8"/>
      <c r="T65" s="8">
        <f>174.88+98</f>
        <v>272.88</v>
      </c>
      <c r="U65" s="8">
        <f>174.88+98</f>
        <v>272.88</v>
      </c>
      <c r="V65" s="8">
        <f>194.37+98</f>
        <v>292.37</v>
      </c>
      <c r="W65" s="8">
        <v>299.43</v>
      </c>
      <c r="X65" s="8">
        <v>299.43</v>
      </c>
      <c r="Y65" s="8">
        <v>350</v>
      </c>
      <c r="Z65" s="8">
        <f t="shared" si="5"/>
        <v>263.13300000000004</v>
      </c>
      <c r="AA65" s="8">
        <v>315.99</v>
      </c>
      <c r="AB65" s="8"/>
      <c r="AC65" s="8"/>
      <c r="AD65" s="8"/>
    </row>
    <row r="66" spans="1:36" x14ac:dyDescent="0.25">
      <c r="A66" t="s">
        <v>45</v>
      </c>
      <c r="B66" s="8">
        <v>42</v>
      </c>
      <c r="C66">
        <v>50</v>
      </c>
      <c r="D66" s="8"/>
      <c r="E66" s="8">
        <v>50</v>
      </c>
      <c r="F66" s="8">
        <v>50</v>
      </c>
      <c r="H66" s="8"/>
      <c r="I66" s="11"/>
      <c r="J66" s="8"/>
      <c r="K66" s="8"/>
      <c r="L66" s="8"/>
      <c r="O66" s="8"/>
      <c r="S66" s="8"/>
      <c r="T66" s="8"/>
      <c r="U66" s="8"/>
      <c r="V66" s="8"/>
      <c r="W66" s="8"/>
      <c r="X66" s="8"/>
      <c r="Y66" s="8"/>
      <c r="Z66" s="8">
        <f t="shared" si="5"/>
        <v>0</v>
      </c>
      <c r="AA66" s="8"/>
      <c r="AB66" s="8"/>
      <c r="AC66" s="8"/>
      <c r="AD66" s="8"/>
    </row>
    <row r="67" spans="1:36" x14ac:dyDescent="0.25">
      <c r="A67" t="s">
        <v>178</v>
      </c>
      <c r="B67" s="8">
        <f>1265.57+86.36</f>
        <v>1351.9299999999998</v>
      </c>
      <c r="C67">
        <v>1500</v>
      </c>
      <c r="D67" s="8">
        <v>1596.65</v>
      </c>
      <c r="E67" s="8">
        <v>1600</v>
      </c>
      <c r="F67" s="8">
        <v>1462.7</v>
      </c>
      <c r="H67" s="8">
        <v>1584.25</v>
      </c>
      <c r="I67" s="8">
        <v>1600</v>
      </c>
      <c r="J67" s="8">
        <v>1885.25</v>
      </c>
      <c r="K67" s="8">
        <v>1885.25</v>
      </c>
      <c r="L67" s="8">
        <v>2000</v>
      </c>
      <c r="M67" s="8">
        <v>2000</v>
      </c>
      <c r="N67" s="8">
        <f>1174.8+107.5</f>
        <v>1282.3</v>
      </c>
      <c r="O67" s="8">
        <f>1174.8+107.5</f>
        <v>1282.3</v>
      </c>
      <c r="Q67" s="67">
        <v>1217.25</v>
      </c>
      <c r="R67" s="67">
        <v>1217.25</v>
      </c>
      <c r="S67" s="8"/>
      <c r="T67" s="8">
        <v>1249.01</v>
      </c>
      <c r="U67" s="8">
        <v>1249.01</v>
      </c>
      <c r="V67" s="67">
        <v>1456.46</v>
      </c>
      <c r="W67" s="67">
        <v>1404.62</v>
      </c>
      <c r="X67" s="67">
        <v>1404.62</v>
      </c>
      <c r="Y67" s="67">
        <v>1500</v>
      </c>
      <c r="Z67" s="8">
        <f t="shared" si="5"/>
        <v>1310.8140000000001</v>
      </c>
      <c r="AA67" s="67">
        <v>1460.63</v>
      </c>
      <c r="AB67" s="67"/>
      <c r="AC67" s="67"/>
      <c r="AD67" s="67"/>
    </row>
    <row r="68" spans="1:36" x14ac:dyDescent="0.25">
      <c r="A68" t="s">
        <v>321</v>
      </c>
      <c r="B68" s="8">
        <v>762</v>
      </c>
      <c r="C68">
        <v>1000</v>
      </c>
      <c r="D68" s="8">
        <v>790</v>
      </c>
      <c r="E68" s="8">
        <v>1000</v>
      </c>
      <c r="F68" s="8">
        <v>600</v>
      </c>
      <c r="H68" s="8">
        <v>1200</v>
      </c>
      <c r="I68" s="8">
        <v>1200</v>
      </c>
      <c r="J68" s="8">
        <v>790</v>
      </c>
      <c r="K68" s="8">
        <v>790</v>
      </c>
      <c r="L68" s="8">
        <v>1000</v>
      </c>
      <c r="M68" s="8">
        <v>1000</v>
      </c>
      <c r="N68" s="8">
        <v>770</v>
      </c>
      <c r="O68" s="8">
        <v>770</v>
      </c>
      <c r="Q68" s="67">
        <v>670</v>
      </c>
      <c r="R68" s="67">
        <v>670</v>
      </c>
      <c r="S68" s="8"/>
      <c r="T68" s="8">
        <v>710</v>
      </c>
      <c r="U68" s="8">
        <v>710</v>
      </c>
      <c r="V68" s="67">
        <v>770</v>
      </c>
      <c r="W68" s="67">
        <v>780</v>
      </c>
      <c r="X68" s="67">
        <v>780</v>
      </c>
      <c r="Y68" s="67">
        <v>800</v>
      </c>
      <c r="Z68" s="8">
        <f t="shared" si="5"/>
        <v>693</v>
      </c>
      <c r="AA68" s="8">
        <v>790</v>
      </c>
      <c r="AB68" s="67"/>
      <c r="AC68" s="67"/>
      <c r="AD68" s="67"/>
    </row>
    <row r="69" spans="1:36" x14ac:dyDescent="0.25">
      <c r="A69" t="s">
        <v>46</v>
      </c>
      <c r="B69" s="8"/>
      <c r="D69" s="8"/>
      <c r="E69" s="8"/>
      <c r="H69" s="8"/>
      <c r="J69" s="8"/>
      <c r="K69" s="8"/>
      <c r="L69" s="8"/>
      <c r="O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6" x14ac:dyDescent="0.25">
      <c r="A70" s="6" t="s">
        <v>47</v>
      </c>
      <c r="B70" s="16">
        <f>SUM(B61:B69)</f>
        <v>5294.98</v>
      </c>
      <c r="C70" s="8">
        <v>5500</v>
      </c>
      <c r="D70" s="8">
        <f>SUM(D61:D69)</f>
        <v>4929.72</v>
      </c>
      <c r="E70" s="8">
        <f>SUM(E61:E69)</f>
        <v>5600</v>
      </c>
      <c r="F70" s="8">
        <f>SUM(F61:F69)</f>
        <v>4406.54</v>
      </c>
      <c r="G70">
        <v>5000</v>
      </c>
      <c r="H70" s="8">
        <f>SUM(H60:H69)</f>
        <v>5649.33</v>
      </c>
      <c r="I70" s="8">
        <f>SUM(I60:I69)</f>
        <v>5675</v>
      </c>
      <c r="J70" s="8">
        <f t="shared" ref="J70:O70" si="6">SUM(J63:J69)</f>
        <v>5484.99</v>
      </c>
      <c r="K70" s="8">
        <f t="shared" si="6"/>
        <v>5484.99</v>
      </c>
      <c r="L70" s="8">
        <f t="shared" si="6"/>
        <v>6000</v>
      </c>
      <c r="M70" s="8">
        <f t="shared" si="6"/>
        <v>5952.5</v>
      </c>
      <c r="N70" s="8">
        <f t="shared" si="6"/>
        <v>5004.8</v>
      </c>
      <c r="O70" s="47">
        <f t="shared" si="6"/>
        <v>5004.8</v>
      </c>
      <c r="P70" s="47">
        <v>5500</v>
      </c>
      <c r="Q70" s="8">
        <f>SUM(Q59:Q69)</f>
        <v>4305.87</v>
      </c>
      <c r="R70" s="8">
        <f>SUM(R59:R69)</f>
        <v>4305.87</v>
      </c>
      <c r="S70" s="8">
        <v>5000</v>
      </c>
      <c r="T70" s="8">
        <f t="shared" ref="T70:AA70" si="7">SUM(T63:T69)</f>
        <v>4680.95</v>
      </c>
      <c r="U70" s="8">
        <f t="shared" si="7"/>
        <v>4680.95</v>
      </c>
      <c r="V70" s="8">
        <f t="shared" si="7"/>
        <v>4653.08</v>
      </c>
      <c r="W70" s="8">
        <f t="shared" ref="W70" si="8">SUM(W63:W69)</f>
        <v>5093.6399999999994</v>
      </c>
      <c r="X70" s="8">
        <f t="shared" si="7"/>
        <v>5093.6399999999994</v>
      </c>
      <c r="Y70" s="8">
        <f>SUM(Y63:Y69)</f>
        <v>5150</v>
      </c>
      <c r="Z70" s="8">
        <f t="shared" si="7"/>
        <v>4187.7720000000008</v>
      </c>
      <c r="AA70" s="8">
        <f t="shared" si="7"/>
        <v>5050.5200000000004</v>
      </c>
      <c r="AB70" s="8"/>
      <c r="AC70" s="8"/>
      <c r="AD70" s="8"/>
    </row>
    <row r="71" spans="1:36" x14ac:dyDescent="0.25">
      <c r="A71" s="6"/>
      <c r="B71" s="8"/>
      <c r="D71" s="8"/>
      <c r="E71" s="8"/>
      <c r="S71" s="8"/>
      <c r="AE71" s="58" t="s">
        <v>180</v>
      </c>
      <c r="AF71" s="71" t="s">
        <v>181</v>
      </c>
      <c r="AG71" s="71" t="s">
        <v>182</v>
      </c>
      <c r="AH71" s="71" t="s">
        <v>183</v>
      </c>
      <c r="AI71" s="71" t="s">
        <v>313</v>
      </c>
    </row>
    <row r="72" spans="1:36" x14ac:dyDescent="0.25">
      <c r="B72" s="8"/>
      <c r="D72" s="8"/>
      <c r="E72" s="8"/>
      <c r="S72" s="8"/>
      <c r="AE72" s="51" t="s">
        <v>372</v>
      </c>
      <c r="AF72" s="72">
        <v>3000</v>
      </c>
      <c r="AG72" s="72">
        <v>605.97</v>
      </c>
      <c r="AH72" s="72">
        <f>+AF72+AG72</f>
        <v>3605.9700000000003</v>
      </c>
      <c r="AI72" s="51"/>
    </row>
    <row r="73" spans="1:36" x14ac:dyDescent="0.25">
      <c r="A73" s="6" t="s">
        <v>48</v>
      </c>
      <c r="B73" s="8"/>
      <c r="D73" s="8"/>
      <c r="E73" s="8"/>
      <c r="S73" s="8"/>
      <c r="AE73" s="51" t="s">
        <v>293</v>
      </c>
      <c r="AF73" s="72"/>
      <c r="AG73" s="72">
        <v>400</v>
      </c>
      <c r="AH73" s="72">
        <f>+AF73+AG73</f>
        <v>400</v>
      </c>
      <c r="AI73" s="51"/>
    </row>
    <row r="74" spans="1:36" x14ac:dyDescent="0.25">
      <c r="A74" s="6" t="s">
        <v>49</v>
      </c>
      <c r="B74" s="15" t="e">
        <f>SUM(#REF!)</f>
        <v>#REF!</v>
      </c>
      <c r="C74" s="8">
        <v>5500</v>
      </c>
      <c r="D74" s="15">
        <v>6500</v>
      </c>
      <c r="E74" s="8">
        <v>6500</v>
      </c>
      <c r="F74" s="8" t="e">
        <f>+#REF!</f>
        <v>#REF!</v>
      </c>
      <c r="G74" s="8">
        <v>6500</v>
      </c>
      <c r="H74" s="8" t="e">
        <f>+#REF!</f>
        <v>#REF!</v>
      </c>
      <c r="I74" s="8">
        <v>6500</v>
      </c>
      <c r="J74" s="8">
        <v>6500</v>
      </c>
      <c r="K74" s="8">
        <v>7593.66</v>
      </c>
      <c r="L74" s="8">
        <v>7500</v>
      </c>
      <c r="M74" s="8">
        <v>7500</v>
      </c>
      <c r="N74" s="8" t="e">
        <f>SUM(#REF!)</f>
        <v>#REF!</v>
      </c>
      <c r="O74" s="47">
        <v>7500</v>
      </c>
      <c r="P74" s="47">
        <v>7500</v>
      </c>
      <c r="Q74" s="66">
        <f>+AH74</f>
        <v>121.8</v>
      </c>
      <c r="R74" s="67">
        <v>8984.16</v>
      </c>
      <c r="S74" s="8">
        <v>9000</v>
      </c>
      <c r="T74" s="67">
        <v>5163.75</v>
      </c>
      <c r="U74" s="67">
        <v>5163.75</v>
      </c>
      <c r="V74" s="67">
        <f>+AH77</f>
        <v>4127.7700000000004</v>
      </c>
      <c r="W74" s="67">
        <v>4200</v>
      </c>
      <c r="X74" s="67">
        <f>+AH77</f>
        <v>4127.7700000000004</v>
      </c>
      <c r="Y74" s="67">
        <v>6000</v>
      </c>
      <c r="Z74" s="67">
        <v>3000</v>
      </c>
      <c r="AA74" s="66">
        <v>5378.54</v>
      </c>
      <c r="AB74" s="67"/>
      <c r="AC74" s="67"/>
      <c r="AD74" s="67"/>
      <c r="AE74" s="51" t="s">
        <v>389</v>
      </c>
      <c r="AF74" s="72"/>
      <c r="AG74" s="72">
        <v>121.8</v>
      </c>
      <c r="AH74" s="73">
        <f>+AG74</f>
        <v>121.8</v>
      </c>
      <c r="AI74" s="51"/>
    </row>
    <row r="75" spans="1:36" x14ac:dyDescent="0.25">
      <c r="B75" s="8"/>
      <c r="D75" s="8"/>
      <c r="E75" s="8"/>
      <c r="H75" s="8"/>
      <c r="J75" s="8"/>
      <c r="K75" s="8"/>
      <c r="S75" s="8"/>
      <c r="AE75" s="51"/>
      <c r="AF75" s="51"/>
      <c r="AG75" s="72"/>
      <c r="AH75" s="73"/>
      <c r="AI75" s="51"/>
    </row>
    <row r="76" spans="1:36" x14ac:dyDescent="0.25">
      <c r="A76" s="6" t="s">
        <v>50</v>
      </c>
      <c r="B76" s="8"/>
      <c r="D76" s="8"/>
      <c r="E76" s="8"/>
      <c r="H76" s="8"/>
      <c r="J76" s="8"/>
      <c r="K76" s="8"/>
      <c r="S76" s="8"/>
      <c r="AE76" s="51"/>
      <c r="AF76" s="51"/>
      <c r="AG76" s="72"/>
      <c r="AH76" s="51"/>
      <c r="AI76" s="51"/>
      <c r="AJ76" s="70"/>
    </row>
    <row r="77" spans="1:36" x14ac:dyDescent="0.25">
      <c r="A77" t="s">
        <v>368</v>
      </c>
      <c r="B77" s="8">
        <v>600</v>
      </c>
      <c r="D77">
        <v>0</v>
      </c>
      <c r="E77" s="8">
        <v>400</v>
      </c>
      <c r="F77">
        <v>549</v>
      </c>
      <c r="H77" s="8">
        <v>565</v>
      </c>
      <c r="J77" s="8">
        <v>565</v>
      </c>
      <c r="K77" s="8">
        <v>565</v>
      </c>
      <c r="L77" s="8">
        <v>0</v>
      </c>
      <c r="N77" s="8">
        <v>0</v>
      </c>
      <c r="S77" s="8"/>
      <c r="T77" s="8">
        <v>0</v>
      </c>
      <c r="U77" s="8">
        <v>0</v>
      </c>
      <c r="V77" s="8">
        <v>974.05</v>
      </c>
      <c r="W77" s="8">
        <v>420.75</v>
      </c>
      <c r="X77" s="8">
        <v>420.75</v>
      </c>
      <c r="Y77" s="8">
        <v>420.75</v>
      </c>
      <c r="Z77" s="8">
        <f t="shared" ref="Z77:Z90" si="9">+V77*0.9</f>
        <v>876.64499999999998</v>
      </c>
      <c r="AA77" s="8">
        <v>921.28</v>
      </c>
      <c r="AB77" s="8"/>
      <c r="AC77" s="8"/>
      <c r="AD77" s="8"/>
      <c r="AE77" s="11"/>
      <c r="AH77" s="11">
        <f>SUM(AH72:AH76)</f>
        <v>4127.7700000000004</v>
      </c>
    </row>
    <row r="78" spans="1:36" x14ac:dyDescent="0.25">
      <c r="A78" s="14" t="s">
        <v>51</v>
      </c>
      <c r="B78" s="8">
        <v>334.25</v>
      </c>
      <c r="C78">
        <v>1000</v>
      </c>
      <c r="D78">
        <v>602.25</v>
      </c>
      <c r="E78" s="8">
        <v>600</v>
      </c>
      <c r="F78">
        <v>377</v>
      </c>
      <c r="H78" s="8">
        <v>405</v>
      </c>
      <c r="J78" s="8">
        <v>327.25</v>
      </c>
      <c r="K78" s="8">
        <v>327.25</v>
      </c>
      <c r="L78" s="8">
        <v>220</v>
      </c>
      <c r="N78" s="8">
        <v>393</v>
      </c>
      <c r="Q78" s="8">
        <v>383</v>
      </c>
      <c r="R78" s="8">
        <v>383</v>
      </c>
      <c r="S78" s="8"/>
      <c r="T78" s="8">
        <v>385</v>
      </c>
      <c r="U78" s="8">
        <v>385</v>
      </c>
      <c r="V78" s="8">
        <v>210.01</v>
      </c>
      <c r="W78" s="8">
        <v>440.19</v>
      </c>
      <c r="X78" s="8">
        <v>440.19</v>
      </c>
      <c r="Y78" s="8">
        <v>440.19</v>
      </c>
      <c r="Z78" s="8">
        <f t="shared" si="9"/>
        <v>189.00899999999999</v>
      </c>
      <c r="AA78" s="8">
        <v>195.47</v>
      </c>
      <c r="AB78" s="8"/>
      <c r="AC78" s="8"/>
      <c r="AD78" s="8"/>
    </row>
    <row r="79" spans="1:36" x14ac:dyDescent="0.25">
      <c r="A79" s="14" t="s">
        <v>52</v>
      </c>
      <c r="B79" s="8">
        <v>680</v>
      </c>
      <c r="C79">
        <v>700</v>
      </c>
      <c r="D79">
        <v>906</v>
      </c>
      <c r="E79" s="8">
        <v>1000</v>
      </c>
      <c r="F79">
        <v>878</v>
      </c>
      <c r="H79" s="8">
        <v>1021</v>
      </c>
      <c r="J79" s="8">
        <v>1066.81</v>
      </c>
      <c r="K79" s="8">
        <v>1066.81</v>
      </c>
      <c r="L79" s="8">
        <v>857</v>
      </c>
      <c r="N79" s="8">
        <v>1046.51</v>
      </c>
      <c r="Q79" s="8">
        <v>1426.56</v>
      </c>
      <c r="R79" s="8">
        <v>1426.56</v>
      </c>
      <c r="S79" s="8"/>
      <c r="T79" s="8">
        <v>929.94</v>
      </c>
      <c r="U79" s="8">
        <v>929.94</v>
      </c>
      <c r="V79" s="8">
        <v>1198.71</v>
      </c>
      <c r="W79" s="8">
        <v>893.17</v>
      </c>
      <c r="X79" s="8">
        <v>893.17</v>
      </c>
      <c r="Y79" s="8">
        <v>893.17</v>
      </c>
      <c r="Z79" s="8">
        <f t="shared" si="9"/>
        <v>1078.8390000000002</v>
      </c>
      <c r="AA79" s="8">
        <v>1092.52</v>
      </c>
      <c r="AB79" s="8"/>
      <c r="AC79" s="8"/>
      <c r="AD79" s="8"/>
    </row>
    <row r="80" spans="1:36" x14ac:dyDescent="0.25">
      <c r="A80" s="14" t="s">
        <v>53</v>
      </c>
      <c r="B80" s="8">
        <v>211.79</v>
      </c>
      <c r="C80">
        <v>220</v>
      </c>
      <c r="D80">
        <v>295.02999999999997</v>
      </c>
      <c r="E80" s="8">
        <v>300</v>
      </c>
      <c r="F80">
        <v>190.69</v>
      </c>
      <c r="H80" s="8">
        <v>293.45999999999998</v>
      </c>
      <c r="J80" s="8">
        <v>268.41000000000003</v>
      </c>
      <c r="K80" s="8">
        <v>268.41000000000003</v>
      </c>
      <c r="N80" s="8">
        <v>250.42</v>
      </c>
      <c r="S80" s="8"/>
      <c r="T80" s="8">
        <v>298.49</v>
      </c>
      <c r="U80" s="8">
        <v>298.49</v>
      </c>
      <c r="V80" s="8">
        <v>293.73</v>
      </c>
      <c r="W80" s="8">
        <v>338.23</v>
      </c>
      <c r="X80" s="8">
        <v>338.23</v>
      </c>
      <c r="Y80" s="8">
        <v>338.23</v>
      </c>
      <c r="Z80" s="8">
        <f t="shared" si="9"/>
        <v>264.35700000000003</v>
      </c>
      <c r="AA80" s="8">
        <v>319.10000000000002</v>
      </c>
      <c r="AB80" s="8"/>
      <c r="AC80" s="8"/>
      <c r="AD80" s="8"/>
      <c r="AE80" s="146" t="s">
        <v>315</v>
      </c>
      <c r="AF80" s="147"/>
    </row>
    <row r="81" spans="1:38" x14ac:dyDescent="0.25">
      <c r="A81" t="s">
        <v>54</v>
      </c>
      <c r="B81" s="8">
        <f>94.35+12+9+8</f>
        <v>123.35</v>
      </c>
      <c r="C81">
        <v>125</v>
      </c>
      <c r="D81">
        <v>97.85</v>
      </c>
      <c r="E81" s="8">
        <v>100</v>
      </c>
      <c r="F81">
        <v>100.4</v>
      </c>
      <c r="H81" s="8">
        <v>120.2</v>
      </c>
      <c r="J81" s="8">
        <v>109.8</v>
      </c>
      <c r="K81" s="8">
        <v>109.8</v>
      </c>
      <c r="N81" s="60">
        <f>64.48+18+6</f>
        <v>88.48</v>
      </c>
      <c r="Q81" s="8">
        <f>57.2+18+6</f>
        <v>81.2</v>
      </c>
      <c r="R81" s="8">
        <f>57.2+18+6</f>
        <v>81.2</v>
      </c>
      <c r="S81" s="8"/>
      <c r="T81" s="67">
        <v>179</v>
      </c>
      <c r="U81" s="67">
        <v>179</v>
      </c>
      <c r="V81" s="67">
        <v>164</v>
      </c>
      <c r="W81" s="67">
        <v>174</v>
      </c>
      <c r="X81" s="67">
        <v>174</v>
      </c>
      <c r="Y81" s="67"/>
      <c r="Z81" s="8">
        <f t="shared" si="9"/>
        <v>147.6</v>
      </c>
      <c r="AA81" s="67">
        <v>224</v>
      </c>
      <c r="AB81" s="67"/>
      <c r="AC81" s="67"/>
      <c r="AD81" s="67"/>
      <c r="AE81" s="51" t="s">
        <v>225</v>
      </c>
      <c r="AF81" s="51">
        <v>126.2</v>
      </c>
    </row>
    <row r="82" spans="1:38" x14ac:dyDescent="0.25">
      <c r="A82" t="s">
        <v>55</v>
      </c>
      <c r="B82" s="8">
        <f>216+54+127.25+216+54+193.25+84.3</f>
        <v>944.8</v>
      </c>
      <c r="C82">
        <v>950</v>
      </c>
      <c r="D82">
        <v>1111.02</v>
      </c>
      <c r="E82" s="8">
        <v>1200</v>
      </c>
      <c r="F82">
        <v>773.75</v>
      </c>
      <c r="H82" s="8">
        <v>520</v>
      </c>
      <c r="J82" s="8">
        <v>585</v>
      </c>
      <c r="K82" s="8">
        <v>585</v>
      </c>
      <c r="N82" s="60">
        <v>520</v>
      </c>
      <c r="Q82" s="67">
        <v>715</v>
      </c>
      <c r="R82" s="67">
        <v>715</v>
      </c>
      <c r="S82" s="8"/>
      <c r="T82" s="67">
        <v>455</v>
      </c>
      <c r="U82" s="67">
        <v>455</v>
      </c>
      <c r="V82" s="67">
        <v>715</v>
      </c>
      <c r="W82" s="67">
        <v>520</v>
      </c>
      <c r="X82" s="67">
        <v>520</v>
      </c>
      <c r="Y82" s="67"/>
      <c r="Z82" s="8">
        <f t="shared" si="9"/>
        <v>643.5</v>
      </c>
      <c r="AA82" s="67">
        <f>390+78.65</f>
        <v>468.65</v>
      </c>
      <c r="AB82" s="67"/>
      <c r="AC82" s="67"/>
      <c r="AD82" s="67"/>
      <c r="AE82" s="51" t="s">
        <v>217</v>
      </c>
      <c r="AF82" s="51">
        <v>36.090000000000003</v>
      </c>
    </row>
    <row r="83" spans="1:38" x14ac:dyDescent="0.25">
      <c r="A83" s="14" t="s">
        <v>56</v>
      </c>
      <c r="B83" s="8"/>
      <c r="D83">
        <v>0</v>
      </c>
      <c r="E83" s="8">
        <v>0</v>
      </c>
      <c r="F83">
        <v>279.87</v>
      </c>
      <c r="H83" s="8"/>
      <c r="J83" s="8"/>
      <c r="K83" s="8"/>
      <c r="N83" s="8">
        <v>0</v>
      </c>
      <c r="Q83" s="8">
        <f>13.61+67.69+31.17+9.12</f>
        <v>121.59</v>
      </c>
      <c r="R83" s="8">
        <f>13.61+67.69+31.17+9.12</f>
        <v>121.59</v>
      </c>
      <c r="S83" s="8"/>
      <c r="T83" s="8"/>
      <c r="U83" s="8"/>
      <c r="V83" s="8"/>
      <c r="W83" s="8"/>
      <c r="X83" s="8"/>
      <c r="Y83" s="8"/>
      <c r="Z83" s="8">
        <f t="shared" si="9"/>
        <v>0</v>
      </c>
      <c r="AA83" s="8"/>
      <c r="AB83" s="8"/>
      <c r="AC83" s="8"/>
      <c r="AD83" s="8"/>
      <c r="AE83" s="51" t="s">
        <v>382</v>
      </c>
      <c r="AF83" s="51">
        <v>235.72</v>
      </c>
    </row>
    <row r="84" spans="1:38" ht="15" customHeight="1" x14ac:dyDescent="0.25">
      <c r="A84" t="s">
        <v>57</v>
      </c>
      <c r="B84" s="8">
        <f>76.08+14.05+132.26</f>
        <v>222.39</v>
      </c>
      <c r="C84">
        <v>250</v>
      </c>
      <c r="D84">
        <f>14.05+9.47+38.93+138.46+1.17+37.08</f>
        <v>239.16000000000003</v>
      </c>
      <c r="E84" s="8">
        <v>250</v>
      </c>
      <c r="F84">
        <v>189.61</v>
      </c>
      <c r="H84" s="8" t="e">
        <f>+#REF!</f>
        <v>#REF!</v>
      </c>
      <c r="J84" s="8">
        <f>31.65+87.65+9.48</f>
        <v>128.78</v>
      </c>
      <c r="K84" s="8">
        <f>31.65+87.65+9.48</f>
        <v>128.78</v>
      </c>
      <c r="N84" s="60">
        <f>+O84</f>
        <v>217.34999999999997</v>
      </c>
      <c r="O84" s="53">
        <f>54.5+32.51+2.25+106.2+21.89</f>
        <v>217.34999999999997</v>
      </c>
      <c r="Q84" s="68">
        <f>+S84</f>
        <v>0</v>
      </c>
      <c r="R84" s="68">
        <v>289.16000000000003</v>
      </c>
      <c r="S84" s="91"/>
      <c r="T84" s="8">
        <v>129.97</v>
      </c>
      <c r="U84" s="8">
        <f>+AG84+AG85</f>
        <v>0</v>
      </c>
      <c r="V84" s="67">
        <v>185.77</v>
      </c>
      <c r="W84" s="67">
        <v>398</v>
      </c>
      <c r="X84" s="67">
        <v>398.01</v>
      </c>
      <c r="Y84" s="67"/>
      <c r="Z84" s="8">
        <f t="shared" si="9"/>
        <v>167.19300000000001</v>
      </c>
      <c r="AA84" s="67">
        <f>+AF84</f>
        <v>398.01</v>
      </c>
      <c r="AB84" s="67"/>
      <c r="AC84" s="67"/>
      <c r="AD84" s="67"/>
      <c r="AE84" s="51"/>
      <c r="AF84" s="51">
        <f>SUM(AF81:AF83)</f>
        <v>398.01</v>
      </c>
    </row>
    <row r="85" spans="1:38" ht="15" customHeight="1" x14ac:dyDescent="0.25">
      <c r="A85" t="s">
        <v>149</v>
      </c>
      <c r="B85" s="8"/>
      <c r="E85" s="8"/>
      <c r="H85" s="8">
        <v>94.95</v>
      </c>
      <c r="J85" s="8">
        <v>194.14</v>
      </c>
      <c r="K85" s="8">
        <v>194.14</v>
      </c>
      <c r="L85" s="8">
        <v>144</v>
      </c>
      <c r="N85" s="8">
        <v>144.84</v>
      </c>
      <c r="S85" s="8"/>
      <c r="T85" s="8">
        <v>180.32</v>
      </c>
      <c r="U85" s="8">
        <v>180.32</v>
      </c>
      <c r="V85" s="8">
        <v>209.26</v>
      </c>
      <c r="W85" s="8">
        <v>197.83</v>
      </c>
      <c r="X85" s="8">
        <v>197.83</v>
      </c>
      <c r="Y85" s="8">
        <v>197.83</v>
      </c>
      <c r="Z85" s="8">
        <f t="shared" si="9"/>
        <v>188.334</v>
      </c>
      <c r="AA85" s="8">
        <v>197.41</v>
      </c>
      <c r="AB85" s="8"/>
      <c r="AC85" s="8"/>
      <c r="AD85" s="8"/>
    </row>
    <row r="86" spans="1:38" ht="15" customHeight="1" x14ac:dyDescent="0.25">
      <c r="A86" t="s">
        <v>58</v>
      </c>
      <c r="B86" s="8"/>
      <c r="D86" s="8"/>
      <c r="E86" s="8"/>
      <c r="H86" s="8"/>
      <c r="J86" s="8"/>
      <c r="K86" s="8"/>
      <c r="N86" s="8">
        <f>8*75</f>
        <v>600</v>
      </c>
      <c r="S86" s="8"/>
      <c r="T86" s="8"/>
      <c r="U86" s="8"/>
      <c r="V86" s="8"/>
      <c r="W86" s="8"/>
      <c r="X86" s="8"/>
      <c r="Y86" s="8"/>
      <c r="Z86" s="8">
        <f t="shared" si="9"/>
        <v>0</v>
      </c>
      <c r="AA86" s="8"/>
      <c r="AB86" s="8"/>
      <c r="AC86" s="8"/>
      <c r="AD86" s="8"/>
    </row>
    <row r="87" spans="1:38" ht="15" customHeight="1" x14ac:dyDescent="0.25">
      <c r="A87" t="s">
        <v>59</v>
      </c>
      <c r="B87" s="8"/>
      <c r="D87" s="8"/>
      <c r="E87" s="8"/>
      <c r="H87" s="8">
        <v>57.56</v>
      </c>
      <c r="J87" s="8">
        <v>11.85</v>
      </c>
      <c r="K87" s="8">
        <v>11.85</v>
      </c>
      <c r="N87" s="8">
        <f>18.51+5.6</f>
        <v>24.11</v>
      </c>
      <c r="S87" s="8"/>
      <c r="T87" s="8"/>
      <c r="U87" s="8"/>
      <c r="V87" s="8"/>
      <c r="W87" s="8"/>
      <c r="X87" s="8"/>
      <c r="Y87" s="8"/>
      <c r="Z87" s="8">
        <f t="shared" si="9"/>
        <v>0</v>
      </c>
      <c r="AA87" s="8"/>
      <c r="AB87" s="8"/>
      <c r="AC87" s="8"/>
      <c r="AD87" s="8"/>
      <c r="AE87" s="144" t="s">
        <v>216</v>
      </c>
      <c r="AF87" s="144"/>
      <c r="AG87" s="144"/>
    </row>
    <row r="88" spans="1:38" x14ac:dyDescent="0.25">
      <c r="A88" t="s">
        <v>60</v>
      </c>
      <c r="B88" s="8">
        <f>11.3+4.32</f>
        <v>15.620000000000001</v>
      </c>
      <c r="D88" s="8"/>
      <c r="E88" s="8"/>
      <c r="H88" s="8">
        <v>82.58</v>
      </c>
      <c r="J88" s="8">
        <v>48.97</v>
      </c>
      <c r="K88" s="8">
        <v>48.97</v>
      </c>
      <c r="N88" s="60">
        <f>123.65+28.15</f>
        <v>151.80000000000001</v>
      </c>
      <c r="Q88" s="8">
        <f>31.31+20.44+121.59</f>
        <v>173.34</v>
      </c>
      <c r="R88" s="8">
        <f>31.31+20.44+121.59</f>
        <v>173.34</v>
      </c>
      <c r="S88" s="8"/>
      <c r="T88" s="8">
        <v>578.17999999999995</v>
      </c>
      <c r="U88" s="8">
        <f>+AH92</f>
        <v>0</v>
      </c>
      <c r="V88" s="67">
        <v>315.26</v>
      </c>
      <c r="W88" s="67">
        <v>248</v>
      </c>
      <c r="X88" s="67">
        <f>+AG94</f>
        <v>247.85999999999999</v>
      </c>
      <c r="Y88" s="67"/>
      <c r="Z88" s="8">
        <f t="shared" si="9"/>
        <v>283.73399999999998</v>
      </c>
      <c r="AA88" s="66">
        <v>416.99</v>
      </c>
      <c r="AB88" s="67"/>
      <c r="AC88" s="67"/>
      <c r="AD88" s="67"/>
      <c r="AE88" s="51" t="s">
        <v>380</v>
      </c>
      <c r="AF88" s="51" t="s">
        <v>381</v>
      </c>
      <c r="AG88" s="72">
        <v>161.56</v>
      </c>
    </row>
    <row r="89" spans="1:38" x14ac:dyDescent="0.25">
      <c r="A89" t="s">
        <v>61</v>
      </c>
      <c r="B89" s="8">
        <f>205.61+221.97+200</f>
        <v>627.58000000000004</v>
      </c>
      <c r="C89">
        <v>500</v>
      </c>
      <c r="D89" s="8">
        <v>969.19</v>
      </c>
      <c r="E89" s="8">
        <v>750</v>
      </c>
      <c r="F89" s="8">
        <v>1121.81</v>
      </c>
      <c r="H89" s="8">
        <v>1431.45</v>
      </c>
      <c r="J89" s="8">
        <v>1000</v>
      </c>
      <c r="K89" s="8">
        <v>1000</v>
      </c>
      <c r="N89" s="8">
        <v>1190.0899999999999</v>
      </c>
      <c r="O89" s="8">
        <v>1190.0899999999999</v>
      </c>
      <c r="Q89" s="66">
        <v>872.99</v>
      </c>
      <c r="R89" s="67">
        <v>872.99</v>
      </c>
      <c r="S89" s="8"/>
      <c r="T89" s="67">
        <v>996.49</v>
      </c>
      <c r="U89" s="67">
        <v>996.49</v>
      </c>
      <c r="V89" s="67">
        <v>1392.67</v>
      </c>
      <c r="W89" s="67">
        <v>1253.75</v>
      </c>
      <c r="X89" s="67">
        <v>1253.75</v>
      </c>
      <c r="Y89" s="67"/>
      <c r="Z89" s="8">
        <f t="shared" si="9"/>
        <v>1253.403</v>
      </c>
      <c r="AA89" s="66">
        <v>1043.8900000000001</v>
      </c>
      <c r="AB89" s="67"/>
      <c r="AC89" s="67"/>
      <c r="AD89" s="67"/>
      <c r="AE89" s="51" t="s">
        <v>383</v>
      </c>
      <c r="AF89" s="51" t="s">
        <v>381</v>
      </c>
      <c r="AG89" s="72">
        <v>16.09</v>
      </c>
      <c r="AI89" s="11"/>
      <c r="AL89">
        <v>2150</v>
      </c>
    </row>
    <row r="90" spans="1:38" x14ac:dyDescent="0.25">
      <c r="A90" t="s">
        <v>62</v>
      </c>
      <c r="B90" s="8"/>
      <c r="D90" s="8"/>
      <c r="E90" s="8"/>
      <c r="S90" s="8"/>
      <c r="T90" s="8"/>
      <c r="U90" s="8"/>
      <c r="V90" s="8"/>
      <c r="W90" s="8"/>
      <c r="X90" s="8"/>
      <c r="Y90" s="8"/>
      <c r="Z90" s="8">
        <f t="shared" si="9"/>
        <v>0</v>
      </c>
      <c r="AA90" s="8"/>
      <c r="AB90" s="8"/>
      <c r="AC90" s="8"/>
      <c r="AD90" s="8"/>
      <c r="AE90" s="51" t="s">
        <v>384</v>
      </c>
      <c r="AF90" s="51" t="s">
        <v>385</v>
      </c>
      <c r="AG90" s="72">
        <v>41.51</v>
      </c>
      <c r="AL90">
        <v>2024.16</v>
      </c>
    </row>
    <row r="91" spans="1:38" x14ac:dyDescent="0.25">
      <c r="A91" s="6" t="s">
        <v>63</v>
      </c>
      <c r="B91" s="15">
        <f>SUM(B77:B89)</f>
        <v>3759.7799999999993</v>
      </c>
      <c r="C91" s="8">
        <f>SUM(C77:C90)</f>
        <v>3745</v>
      </c>
      <c r="D91" s="8">
        <f>SUM(D77:D90)</f>
        <v>4220.5</v>
      </c>
      <c r="E91" s="8">
        <f>SUM(E77:E90)</f>
        <v>4600</v>
      </c>
      <c r="F91" s="8">
        <f>SUM(F77:F90)</f>
        <v>4460.13</v>
      </c>
      <c r="G91">
        <v>4800</v>
      </c>
      <c r="H91" s="8" t="e">
        <f>SUM(H77:H90)</f>
        <v>#REF!</v>
      </c>
      <c r="I91">
        <v>4800</v>
      </c>
      <c r="J91" s="8">
        <v>4500</v>
      </c>
      <c r="K91" s="8">
        <f>SUM(K77:K90)</f>
        <v>4306.01</v>
      </c>
      <c r="L91" s="8">
        <v>4800</v>
      </c>
      <c r="M91" s="8">
        <v>4800</v>
      </c>
      <c r="N91" s="8">
        <f>SUM(N77:N90)</f>
        <v>4626.6000000000004</v>
      </c>
      <c r="O91" s="47">
        <v>3412.4</v>
      </c>
      <c r="P91" s="47">
        <v>5000</v>
      </c>
      <c r="Q91" s="8">
        <f>SUM(Q77:Q90)</f>
        <v>3773.6800000000003</v>
      </c>
      <c r="R91" s="8">
        <f>SUM(R77:R90)</f>
        <v>4062.84</v>
      </c>
      <c r="S91" s="8">
        <v>5000</v>
      </c>
      <c r="T91" s="8">
        <f>SUM(T77:T90)</f>
        <v>4132.3900000000003</v>
      </c>
      <c r="U91" s="8">
        <v>4132.3900000000003</v>
      </c>
      <c r="V91" s="8">
        <f>SUM(V77:V90)</f>
        <v>5658.46</v>
      </c>
      <c r="W91" s="8">
        <f>SUM(W77:W90)</f>
        <v>4883.92</v>
      </c>
      <c r="X91" s="8">
        <v>4883.92</v>
      </c>
      <c r="Y91" s="8">
        <v>5000</v>
      </c>
      <c r="Z91" s="8">
        <f>SUM(Z77:Z90)</f>
        <v>5092.6140000000005</v>
      </c>
      <c r="AA91" s="8">
        <f>SUM(AA77:AA90)</f>
        <v>5277.32</v>
      </c>
      <c r="AB91" s="8"/>
      <c r="AC91" s="8"/>
      <c r="AD91" s="8"/>
      <c r="AE91" s="51" t="s">
        <v>390</v>
      </c>
      <c r="AF91" s="139" t="s">
        <v>391</v>
      </c>
      <c r="AG91" s="51">
        <v>28.7</v>
      </c>
      <c r="AL91">
        <f>SUM(AL89:AL90)</f>
        <v>4174.16</v>
      </c>
    </row>
    <row r="92" spans="1:38" x14ac:dyDescent="0.25">
      <c r="B92" s="8"/>
      <c r="D92" s="8"/>
      <c r="E92" s="8"/>
      <c r="S92" s="8"/>
      <c r="AE92" s="51"/>
      <c r="AF92" s="51"/>
      <c r="AG92" s="72"/>
      <c r="AH92" s="11"/>
      <c r="AL92">
        <f>+AL91/2</f>
        <v>2087.08</v>
      </c>
    </row>
    <row r="93" spans="1:38" x14ac:dyDescent="0.25">
      <c r="A93" s="6" t="s">
        <v>64</v>
      </c>
      <c r="B93" s="8"/>
      <c r="D93" s="8"/>
      <c r="E93" s="8"/>
      <c r="S93" s="8"/>
      <c r="AE93" s="51"/>
      <c r="AF93" s="51"/>
      <c r="AG93" s="72"/>
      <c r="AL93">
        <f>+AL92*12</f>
        <v>25044.959999999999</v>
      </c>
    </row>
    <row r="94" spans="1:38" x14ac:dyDescent="0.25">
      <c r="A94" t="s">
        <v>65</v>
      </c>
      <c r="B94" s="8"/>
      <c r="D94" s="8"/>
      <c r="E94" s="8"/>
      <c r="H94">
        <v>0</v>
      </c>
      <c r="L94" s="8">
        <v>0</v>
      </c>
      <c r="N94" s="8">
        <v>0</v>
      </c>
      <c r="S94" s="8"/>
      <c r="V94">
        <v>0</v>
      </c>
      <c r="AA94">
        <v>0</v>
      </c>
      <c r="AG94" s="54">
        <f>SUM(AG88:AG93)</f>
        <v>247.85999999999999</v>
      </c>
    </row>
    <row r="95" spans="1:38" x14ac:dyDescent="0.25">
      <c r="A95" t="s">
        <v>66</v>
      </c>
      <c r="B95" s="15">
        <f>278.2+308.23+304.79+299.25+211.88+230.02+273.41+274.85</f>
        <v>2180.63</v>
      </c>
      <c r="C95" s="8">
        <f>2200-750</f>
        <v>1450</v>
      </c>
      <c r="D95" s="8">
        <f>188.48+171.06+186.36+87.13+132.11</f>
        <v>765.14</v>
      </c>
      <c r="E95" s="8">
        <v>1000</v>
      </c>
      <c r="F95" s="8">
        <f>141.05+214.53+174.81+200.77+187.86</f>
        <v>919.0200000000001</v>
      </c>
      <c r="H95">
        <f>216.63+197.46+190.98+181.5+181.82</f>
        <v>968.3900000000001</v>
      </c>
      <c r="I95">
        <v>1000</v>
      </c>
      <c r="J95">
        <f>193.95+264.72+226.74+235.99+167.55+193.95</f>
        <v>1282.9000000000001</v>
      </c>
      <c r="K95" s="8">
        <f>193.95+264.72+226.74+235.99+167.55+193.95</f>
        <v>1282.9000000000001</v>
      </c>
      <c r="L95" s="8">
        <v>1300</v>
      </c>
      <c r="M95" s="8">
        <f>149.21+179.74+97.48+183.48</f>
        <v>609.91000000000008</v>
      </c>
      <c r="N95" s="8">
        <f>149.21+179.74+97.48+183.48</f>
        <v>609.91000000000008</v>
      </c>
      <c r="O95" s="8">
        <f>149.21+179.74+97.48+183.48</f>
        <v>609.91000000000008</v>
      </c>
      <c r="P95" s="8">
        <v>650</v>
      </c>
      <c r="Q95" s="8">
        <f>192.35+169.41+131.03+162.37+114.35</f>
        <v>769.51</v>
      </c>
      <c r="R95" s="8">
        <f>192.35+169.41+131.03+162.37+114.35</f>
        <v>769.51</v>
      </c>
      <c r="S95" s="8">
        <v>780</v>
      </c>
      <c r="T95" s="8">
        <f>166.7+194.09+166.18</f>
        <v>526.97</v>
      </c>
      <c r="U95" s="8">
        <f>166.7+194.09+166.18</f>
        <v>526.97</v>
      </c>
      <c r="V95" s="67">
        <v>861.06</v>
      </c>
      <c r="W95" s="67">
        <f>173.43+195.94+176.55+155.04</f>
        <v>700.96</v>
      </c>
      <c r="X95" s="67">
        <f>173.43+195.94+176.55+155.04</f>
        <v>700.96</v>
      </c>
      <c r="Y95" s="67">
        <v>850</v>
      </c>
      <c r="Z95" s="67">
        <v>861.06</v>
      </c>
      <c r="AA95" s="67">
        <f>127.14+147.14+172.66+186.74+182.68</f>
        <v>816.3599999999999</v>
      </c>
      <c r="AB95" s="66"/>
      <c r="AC95" s="66"/>
      <c r="AD95" s="66"/>
    </row>
    <row r="96" spans="1:38" x14ac:dyDescent="0.25">
      <c r="A96" t="s">
        <v>67</v>
      </c>
      <c r="B96" s="8"/>
      <c r="D96" s="8"/>
      <c r="E96" s="8"/>
      <c r="F96" s="8">
        <v>1200</v>
      </c>
      <c r="H96">
        <v>3760.88</v>
      </c>
      <c r="I96">
        <v>3800</v>
      </c>
      <c r="J96" s="45">
        <v>3800</v>
      </c>
      <c r="K96" s="60">
        <f>2937.5+2148.93</f>
        <v>5086.43</v>
      </c>
      <c r="L96" s="8">
        <v>5000</v>
      </c>
      <c r="M96" s="8">
        <v>5000</v>
      </c>
      <c r="N96" s="66">
        <v>5000</v>
      </c>
      <c r="O96" s="8">
        <v>5000</v>
      </c>
      <c r="P96" s="8">
        <v>5000</v>
      </c>
      <c r="Q96" s="66">
        <v>6000</v>
      </c>
      <c r="R96" s="67">
        <v>5407.6</v>
      </c>
      <c r="S96" s="8">
        <v>5500</v>
      </c>
      <c r="T96" s="66">
        <v>5500</v>
      </c>
      <c r="U96" s="66">
        <v>5500</v>
      </c>
      <c r="V96" s="67">
        <f>2855+5838.13</f>
        <v>8693.130000000001</v>
      </c>
      <c r="W96" s="67">
        <v>5900</v>
      </c>
      <c r="X96" s="67">
        <f>+AG109</f>
        <v>5876.87</v>
      </c>
      <c r="Y96" s="67">
        <v>8000</v>
      </c>
      <c r="Z96" s="67">
        <f>2855+5838.13</f>
        <v>8693.130000000001</v>
      </c>
      <c r="AA96" s="67">
        <v>7059.85</v>
      </c>
      <c r="AB96" s="66"/>
      <c r="AC96" s="66"/>
      <c r="AD96" s="66"/>
    </row>
    <row r="97" spans="1:38" x14ac:dyDescent="0.25">
      <c r="A97" t="s">
        <v>215</v>
      </c>
      <c r="T97" s="8">
        <f>340+212.5</f>
        <v>552.5</v>
      </c>
      <c r="U97" s="8">
        <f>340+212.5</f>
        <v>552.5</v>
      </c>
      <c r="V97" s="67">
        <v>467.25</v>
      </c>
      <c r="W97" s="67"/>
      <c r="X97" s="67"/>
      <c r="Y97" s="67"/>
      <c r="Z97" s="67">
        <v>467.25</v>
      </c>
      <c r="AA97" s="66">
        <v>0</v>
      </c>
      <c r="AB97" s="66"/>
      <c r="AC97" s="66"/>
      <c r="AD97" s="66"/>
    </row>
    <row r="98" spans="1:38" x14ac:dyDescent="0.25">
      <c r="A98" t="s">
        <v>365</v>
      </c>
      <c r="T98" s="8"/>
      <c r="U98" s="8"/>
      <c r="V98" s="67"/>
      <c r="W98" s="67"/>
      <c r="X98" s="67"/>
      <c r="Y98" s="67"/>
      <c r="Z98" s="67"/>
      <c r="AA98" s="66">
        <v>498.93</v>
      </c>
      <c r="AB98" s="66"/>
      <c r="AC98" s="66"/>
      <c r="AD98" s="66"/>
    </row>
    <row r="99" spans="1:38" x14ac:dyDescent="0.25">
      <c r="A99" t="s">
        <v>366</v>
      </c>
      <c r="T99" s="8"/>
      <c r="U99" s="8"/>
      <c r="V99" s="67"/>
      <c r="W99" s="67">
        <v>490</v>
      </c>
      <c r="X99" s="67">
        <v>490</v>
      </c>
      <c r="Y99" s="67"/>
      <c r="Z99" s="67"/>
      <c r="AA99" s="66">
        <v>492.7</v>
      </c>
      <c r="AB99" s="66"/>
      <c r="AC99" s="66"/>
      <c r="AD99" s="66"/>
    </row>
    <row r="100" spans="1:38" x14ac:dyDescent="0.25">
      <c r="A100" t="s">
        <v>336</v>
      </c>
      <c r="T100" s="8"/>
      <c r="U100" s="8"/>
      <c r="V100" s="67">
        <v>-1057</v>
      </c>
      <c r="W100" s="67"/>
      <c r="X100" s="67"/>
      <c r="Y100" s="67"/>
      <c r="Z100" s="67">
        <v>-1057</v>
      </c>
      <c r="AA100" s="67"/>
      <c r="AB100" s="66"/>
      <c r="AC100" s="66"/>
      <c r="AD100" s="66"/>
    </row>
    <row r="101" spans="1:38" x14ac:dyDescent="0.25">
      <c r="B101" s="8"/>
      <c r="D101" s="8"/>
      <c r="E101" s="8"/>
      <c r="F101" s="11">
        <f>+F95+F96</f>
        <v>2119.02</v>
      </c>
      <c r="G101">
        <v>2500</v>
      </c>
      <c r="H101">
        <f>SUM(H94:H97)</f>
        <v>4729.2700000000004</v>
      </c>
      <c r="L101" s="8"/>
      <c r="S101" s="8"/>
      <c r="AF101" s="84">
        <v>2793.75</v>
      </c>
      <c r="AG101" s="77" t="s">
        <v>196</v>
      </c>
      <c r="AH101" s="78"/>
      <c r="AI101" s="11">
        <f>+V96-AF101</f>
        <v>5899.380000000001</v>
      </c>
    </row>
    <row r="102" spans="1:38" x14ac:dyDescent="0.25">
      <c r="A102" s="6" t="s">
        <v>68</v>
      </c>
      <c r="B102" s="8"/>
      <c r="D102" s="8"/>
      <c r="E102" s="8"/>
      <c r="L102" s="8"/>
      <c r="S102" s="8"/>
      <c r="AF102" s="79"/>
      <c r="AH102" s="80"/>
    </row>
    <row r="103" spans="1:38" x14ac:dyDescent="0.25">
      <c r="A103" s="6"/>
      <c r="B103" s="8"/>
      <c r="D103" s="8"/>
      <c r="E103" s="8"/>
      <c r="L103" s="8"/>
      <c r="S103" s="8"/>
      <c r="AF103" s="85">
        <f>+AF101+AF102</f>
        <v>2793.75</v>
      </c>
      <c r="AG103" s="82" t="s">
        <v>197</v>
      </c>
      <c r="AH103" s="83"/>
    </row>
    <row r="104" spans="1:38" x14ac:dyDescent="0.25">
      <c r="A104" s="6" t="s">
        <v>69</v>
      </c>
      <c r="B104" s="15">
        <v>15000</v>
      </c>
      <c r="C104" s="8">
        <f>9378*1.03</f>
        <v>9659.34</v>
      </c>
      <c r="D104" s="8">
        <f>+C104</f>
        <v>9659.34</v>
      </c>
      <c r="E104" s="8">
        <v>10000</v>
      </c>
      <c r="F104" s="8">
        <v>9960</v>
      </c>
      <c r="G104" s="8">
        <v>10258</v>
      </c>
      <c r="H104" s="8">
        <f>+F104*1.03</f>
        <v>10258.800000000001</v>
      </c>
      <c r="I104" s="8">
        <v>20000</v>
      </c>
      <c r="J104" s="8">
        <v>20000</v>
      </c>
      <c r="K104" s="8">
        <v>20979.3</v>
      </c>
      <c r="L104" s="8">
        <f>880.55*12</f>
        <v>10566.599999999999</v>
      </c>
      <c r="M104" s="8">
        <v>11052</v>
      </c>
      <c r="N104" s="8">
        <f>921*12</f>
        <v>11052</v>
      </c>
      <c r="O104" s="8">
        <f>921*12</f>
        <v>11052</v>
      </c>
      <c r="P104" s="8">
        <v>11500</v>
      </c>
      <c r="Q104" s="8">
        <v>11500</v>
      </c>
      <c r="R104" s="8">
        <v>11500</v>
      </c>
      <c r="S104" s="8">
        <f>11384*1.03</f>
        <v>11725.52</v>
      </c>
      <c r="T104" s="8">
        <f>11384*1.03</f>
        <v>11725.52</v>
      </c>
      <c r="U104" s="8">
        <f>+AE107</f>
        <v>25044.959999999999</v>
      </c>
      <c r="V104" s="8">
        <f>+AK106</f>
        <v>25676.21</v>
      </c>
      <c r="W104" s="67">
        <v>13650</v>
      </c>
      <c r="X104" s="67">
        <v>13650</v>
      </c>
      <c r="Y104" s="8">
        <v>13000</v>
      </c>
      <c r="Z104" s="8">
        <v>13000</v>
      </c>
      <c r="AA104" s="8">
        <v>25044.959999999999</v>
      </c>
      <c r="AB104" s="8"/>
      <c r="AC104" s="8"/>
      <c r="AD104" s="8"/>
      <c r="AE104">
        <f>2024.16/2</f>
        <v>1012.08</v>
      </c>
      <c r="AF104" s="76">
        <v>1667.75</v>
      </c>
      <c r="AG104" s="77">
        <v>956.07</v>
      </c>
      <c r="AH104" s="78" t="s">
        <v>387</v>
      </c>
      <c r="AI104">
        <f>+V104/2</f>
        <v>12838.105</v>
      </c>
      <c r="AJ104">
        <f>2024.16*12</f>
        <v>24289.920000000002</v>
      </c>
      <c r="AK104">
        <f>+AJ104/2</f>
        <v>12144.960000000001</v>
      </c>
      <c r="AL104" t="s">
        <v>323</v>
      </c>
    </row>
    <row r="105" spans="1:38" x14ac:dyDescent="0.25">
      <c r="B105" s="8"/>
      <c r="D105" s="8"/>
      <c r="E105" s="8"/>
      <c r="S105" s="8"/>
      <c r="AE105">
        <f>2150/2</f>
        <v>1075</v>
      </c>
      <c r="AF105" s="79">
        <v>1778.8</v>
      </c>
      <c r="AG105">
        <v>1893.44</v>
      </c>
      <c r="AH105" s="80" t="s">
        <v>387</v>
      </c>
      <c r="AK105">
        <v>13531.25</v>
      </c>
      <c r="AL105" t="s">
        <v>324</v>
      </c>
    </row>
    <row r="106" spans="1:38" ht="15.75" x14ac:dyDescent="0.25">
      <c r="A106" s="17" t="s">
        <v>14</v>
      </c>
      <c r="B106" s="12">
        <f t="shared" ref="B106:AA106" si="10">+B21</f>
        <v>101922.87</v>
      </c>
      <c r="C106" s="12">
        <f t="shared" si="10"/>
        <v>82772</v>
      </c>
      <c r="D106" s="12">
        <f t="shared" si="10"/>
        <v>108439.25</v>
      </c>
      <c r="E106" s="12">
        <f t="shared" si="10"/>
        <v>80800</v>
      </c>
      <c r="F106" s="12">
        <f t="shared" si="10"/>
        <v>109210</v>
      </c>
      <c r="G106" s="12">
        <f t="shared" si="10"/>
        <v>90750</v>
      </c>
      <c r="H106" s="12">
        <f t="shared" si="10"/>
        <v>115968.85</v>
      </c>
      <c r="I106" s="12">
        <f t="shared" si="10"/>
        <v>108750</v>
      </c>
      <c r="J106" s="12">
        <f t="shared" si="10"/>
        <v>120278</v>
      </c>
      <c r="K106" s="12">
        <f t="shared" si="10"/>
        <v>120562.16</v>
      </c>
      <c r="L106" s="12">
        <f t="shared" si="10"/>
        <v>97500</v>
      </c>
      <c r="M106" s="12">
        <f t="shared" si="10"/>
        <v>77875</v>
      </c>
      <c r="N106" s="12">
        <f t="shared" si="10"/>
        <v>113835</v>
      </c>
      <c r="O106" s="12">
        <f t="shared" si="10"/>
        <v>113835</v>
      </c>
      <c r="P106" s="12">
        <f t="shared" si="10"/>
        <v>101235</v>
      </c>
      <c r="Q106" s="12">
        <f t="shared" si="10"/>
        <v>110103.89</v>
      </c>
      <c r="R106" s="12">
        <f t="shared" si="10"/>
        <v>109691.89</v>
      </c>
      <c r="S106" s="12">
        <f t="shared" si="10"/>
        <v>108000</v>
      </c>
      <c r="T106" s="12">
        <f t="shared" si="10"/>
        <v>144118.21</v>
      </c>
      <c r="U106" s="12">
        <f t="shared" si="10"/>
        <v>144118.21</v>
      </c>
      <c r="V106" s="12">
        <f t="shared" si="10"/>
        <v>167831</v>
      </c>
      <c r="W106" s="12">
        <f t="shared" si="10"/>
        <v>144000</v>
      </c>
      <c r="X106" s="12">
        <f t="shared" si="10"/>
        <v>147320</v>
      </c>
      <c r="Y106" s="12">
        <f>+Y21</f>
        <v>126320.34999999999</v>
      </c>
      <c r="Z106" s="12">
        <f t="shared" si="10"/>
        <v>139500</v>
      </c>
      <c r="AA106" s="12">
        <f t="shared" si="10"/>
        <v>155936</v>
      </c>
      <c r="AB106" s="12"/>
      <c r="AC106" s="12"/>
      <c r="AD106" s="12"/>
      <c r="AE106" s="12">
        <f>SUM(AE104:AE105)</f>
        <v>2087.08</v>
      </c>
      <c r="AF106" s="81">
        <v>143.76</v>
      </c>
      <c r="AG106">
        <v>2793.75</v>
      </c>
      <c r="AH106" s="80" t="s">
        <v>386</v>
      </c>
      <c r="AK106">
        <f>SUM(AK104:AK105)</f>
        <v>25676.21</v>
      </c>
      <c r="AL106" t="s">
        <v>325</v>
      </c>
    </row>
    <row r="107" spans="1:38" ht="15.75" x14ac:dyDescent="0.25">
      <c r="A107" s="17" t="s">
        <v>70</v>
      </c>
      <c r="B107" s="12" t="e">
        <f>SUM(B47+B57+B70+B74+B91+B94+B95+B96+B104+#REF!)</f>
        <v>#REF!</v>
      </c>
      <c r="C107" s="12">
        <f>SUM(C47+C57+C70+C74+C91+C94+C95+C96+C104)</f>
        <v>67835.22</v>
      </c>
      <c r="D107" s="12" t="e">
        <f>SUM(D47+D57+D70+D74+D91+D94+D95+D96+D104+#REF!)</f>
        <v>#REF!</v>
      </c>
      <c r="E107" s="12" t="e">
        <f>SUM(E47+E57+E70+E74+E91+E94+E95+E96+E104+#REF!)</f>
        <v>#REF!</v>
      </c>
      <c r="F107" s="12" t="e">
        <f>SUM(F47+F57+F70+F74+F91+F94+F95+F96+F104+#REF!)</f>
        <v>#REF!</v>
      </c>
      <c r="G107" s="12" t="e">
        <f>SUM(G47+G57+G70+G74+G91+G94+G95+G96+G104+#REF!)</f>
        <v>#REF!</v>
      </c>
      <c r="H107" s="12" t="e">
        <f>SUM(H47+H57+H70+H74+H91+H94+H95+H96+H104+#REF!)</f>
        <v>#REF!</v>
      </c>
      <c r="I107" s="12" t="e">
        <f>SUM(I47+I57+I70+I74+I91+I94+I95+I96+I104+#REF!)</f>
        <v>#REF!</v>
      </c>
      <c r="J107" s="12" t="e">
        <f>SUM(J47+J57+J70+J74+J91+J94+J95+J96+J104+#REF!)</f>
        <v>#REF!</v>
      </c>
      <c r="K107" s="12" t="e">
        <f>SUM(K47+K57+K70+K74+K91+K94+K95+K96+K104+#REF!)</f>
        <v>#REF!</v>
      </c>
      <c r="L107" s="12" t="e">
        <f>SUM(L47+L57+L70+L74+L91+L94+L95+L96+L104+#REF!)</f>
        <v>#REF!</v>
      </c>
      <c r="M107" s="12" t="e">
        <f>SUM(M47+M57+M70+M74+M91+M94+M95+M96+M104+#REF!)</f>
        <v>#REF!</v>
      </c>
      <c r="N107" s="12" t="e">
        <f>SUM(N47+N57+N70+N74+N91+N94+N95+N96+N104+#REF!)</f>
        <v>#REF!</v>
      </c>
      <c r="O107" s="12" t="e">
        <f>SUM(O47+O57+O70+O74+O91+O94+O95+O96+O104+#REF!)</f>
        <v>#REF!</v>
      </c>
      <c r="P107" s="12" t="e">
        <f>SUM(P47+P57+P70+P74+P91+P94+P95+P96+P104+#REF!)</f>
        <v>#REF!</v>
      </c>
      <c r="Q107" s="12" t="e">
        <f>SUM(Q47+Q57+Q70+Q74+Q91+Q94+Q95+Q96+Q104+#REF!)</f>
        <v>#REF!</v>
      </c>
      <c r="R107" s="12" t="e">
        <f>SUM(R47+R57+R70+R74+R91+R94+R95+R96+R104+#REF!)</f>
        <v>#REF!</v>
      </c>
      <c r="S107" s="12" t="e">
        <f>SUM(S47+S57+S70+S74+S91+S94+S95+S96+S104+#REF!)</f>
        <v>#REF!</v>
      </c>
      <c r="T107" s="12">
        <f>SUM(T47+T57+T70+T74+T91+T94+T95+T96+T104+T97)</f>
        <v>111629.84</v>
      </c>
      <c r="U107" s="12">
        <f>SUM(U47+U57+U70+U74+U91+U94+U95+U96+U104+U97)</f>
        <v>122111.53</v>
      </c>
      <c r="V107" s="12">
        <f>SUM(V47+V57+V70+V74+V91+V94+V95+V96+V104+V97+V100)</f>
        <v>134406.54</v>
      </c>
      <c r="W107" s="12">
        <f>SUM(W47+W57+W70+W74+W91+W94+W95+W96+W104+W97+W100+W98+W99)</f>
        <v>121047</v>
      </c>
      <c r="X107" s="12">
        <f>SUM(X47+X57+X70+X74+X91+X94+X95+X96+X104+X97+X100+X98+X99)</f>
        <v>117865.59</v>
      </c>
      <c r="Y107" s="12">
        <f>SUM(Y47+Y57+Y70+Y74+Y91+Y94+Y95+Y96+Y104+Y97+Y100+Y98+Y99)</f>
        <v>109280.81</v>
      </c>
      <c r="Z107" s="12">
        <f>SUM(Z47+Z57+Z70+Z74+Z91+Z94+Z95+Z96+Z104+Z97+Z100)</f>
        <v>104152.192</v>
      </c>
      <c r="AA107" s="12">
        <f>SUM(AA47+AA57+AA70+AA74+AA91+AA94+AA95+AA96+AA104+AA97+AA100+AA98+AA99)</f>
        <v>132683.06000000003</v>
      </c>
      <c r="AB107" s="12">
        <f>+AA107-AA104</f>
        <v>107638.10000000003</v>
      </c>
      <c r="AC107" s="12"/>
      <c r="AD107" s="12"/>
      <c r="AE107">
        <f>+AE106*12</f>
        <v>25044.959999999999</v>
      </c>
      <c r="AF107" s="79">
        <v>675.79</v>
      </c>
      <c r="AG107">
        <v>198.61</v>
      </c>
      <c r="AH107" s="80" t="s">
        <v>387</v>
      </c>
      <c r="AI107" s="10">
        <f>+V107-AI104</f>
        <v>121568.43500000001</v>
      </c>
      <c r="AJ107" s="8">
        <v>121395.03</v>
      </c>
      <c r="AK107" s="10">
        <f>+AI107-AJ107</f>
        <v>173.40500000001339</v>
      </c>
    </row>
    <row r="108" spans="1:38" x14ac:dyDescent="0.25">
      <c r="B108" s="8"/>
      <c r="D108" s="8"/>
      <c r="E108" s="8"/>
      <c r="F108" s="8"/>
      <c r="S108" s="8"/>
      <c r="AF108" s="79"/>
      <c r="AG108">
        <v>35</v>
      </c>
      <c r="AH108" s="80"/>
    </row>
    <row r="109" spans="1:38" ht="15.75" x14ac:dyDescent="0.25">
      <c r="A109" s="17" t="s">
        <v>71</v>
      </c>
      <c r="B109" s="12" t="e">
        <f t="shared" ref="B109:G109" si="11">+B106-B107</f>
        <v>#REF!</v>
      </c>
      <c r="C109" s="12">
        <f t="shared" si="11"/>
        <v>14936.779999999999</v>
      </c>
      <c r="D109" s="12" t="e">
        <f t="shared" si="11"/>
        <v>#REF!</v>
      </c>
      <c r="E109" s="12" t="e">
        <f t="shared" si="11"/>
        <v>#REF!</v>
      </c>
      <c r="F109" s="12" t="e">
        <f t="shared" si="11"/>
        <v>#REF!</v>
      </c>
      <c r="G109" s="12" t="e">
        <f t="shared" si="11"/>
        <v>#REF!</v>
      </c>
      <c r="H109" s="12" t="e">
        <f t="shared" ref="H109:Q109" si="12">+H106-H107</f>
        <v>#REF!</v>
      </c>
      <c r="I109" s="12" t="e">
        <f t="shared" si="12"/>
        <v>#REF!</v>
      </c>
      <c r="J109" s="12" t="e">
        <f t="shared" si="12"/>
        <v>#REF!</v>
      </c>
      <c r="K109" s="12" t="e">
        <f t="shared" si="12"/>
        <v>#REF!</v>
      </c>
      <c r="L109" s="12" t="e">
        <f t="shared" si="12"/>
        <v>#REF!</v>
      </c>
      <c r="M109" s="12" t="e">
        <f t="shared" si="12"/>
        <v>#REF!</v>
      </c>
      <c r="N109" s="12" t="e">
        <f t="shared" si="12"/>
        <v>#REF!</v>
      </c>
      <c r="O109" s="12" t="e">
        <f t="shared" si="12"/>
        <v>#REF!</v>
      </c>
      <c r="P109" s="12" t="e">
        <f t="shared" si="12"/>
        <v>#REF!</v>
      </c>
      <c r="Q109" s="12" t="e">
        <f t="shared" si="12"/>
        <v>#REF!</v>
      </c>
      <c r="R109" s="12" t="e">
        <f t="shared" ref="R109:AA109" si="13">+R106-R107</f>
        <v>#REF!</v>
      </c>
      <c r="S109" s="12" t="e">
        <f t="shared" si="13"/>
        <v>#REF!</v>
      </c>
      <c r="T109" s="12">
        <f t="shared" si="13"/>
        <v>32488.369999999995</v>
      </c>
      <c r="U109" s="12">
        <f t="shared" si="13"/>
        <v>22006.679999999993</v>
      </c>
      <c r="V109" s="12">
        <f t="shared" si="13"/>
        <v>33424.459999999992</v>
      </c>
      <c r="W109" s="12">
        <f t="shared" si="13"/>
        <v>22953</v>
      </c>
      <c r="X109" s="12">
        <f t="shared" si="13"/>
        <v>29454.410000000003</v>
      </c>
      <c r="Y109" s="12">
        <f>+Y106-Y107</f>
        <v>17039.539999999994</v>
      </c>
      <c r="Z109" s="12">
        <f t="shared" si="13"/>
        <v>35347.808000000005</v>
      </c>
      <c r="AA109" s="12">
        <f t="shared" si="13"/>
        <v>23252.939999999973</v>
      </c>
      <c r="AB109" s="12"/>
      <c r="AC109" s="12"/>
      <c r="AD109" s="12"/>
      <c r="AF109" s="79"/>
      <c r="AG109">
        <f>SUM(AG104:AG108)</f>
        <v>5876.87</v>
      </c>
      <c r="AH109" s="80" t="s">
        <v>388</v>
      </c>
      <c r="AJ109" s="11">
        <v>133540</v>
      </c>
      <c r="AK109" t="s">
        <v>333</v>
      </c>
    </row>
    <row r="110" spans="1:38" x14ac:dyDescent="0.25">
      <c r="A110" s="52" t="s">
        <v>290</v>
      </c>
      <c r="D110" s="8"/>
      <c r="I110" s="47" t="e">
        <f>+I109/2</f>
        <v>#REF!</v>
      </c>
      <c r="J110" s="47" t="e">
        <f>+J109/2</f>
        <v>#REF!</v>
      </c>
      <c r="K110" s="47" t="e">
        <f>+K109/2</f>
        <v>#REF!</v>
      </c>
      <c r="L110" s="56" t="s">
        <v>161</v>
      </c>
      <c r="M110" s="59" t="s">
        <v>161</v>
      </c>
      <c r="U110" s="47">
        <f>+U109/2</f>
        <v>11003.339999999997</v>
      </c>
      <c r="V110" s="47">
        <f>+V109/2</f>
        <v>16712.229999999996</v>
      </c>
      <c r="W110" s="47"/>
      <c r="X110" s="47"/>
      <c r="Y110" s="47"/>
      <c r="Z110" s="47"/>
      <c r="AA110" s="47"/>
      <c r="AB110" s="47"/>
      <c r="AC110" s="47"/>
      <c r="AD110" s="47"/>
      <c r="AF110" s="79"/>
      <c r="AH110" s="80"/>
      <c r="AJ110" s="107">
        <v>134597</v>
      </c>
      <c r="AK110" t="s">
        <v>334</v>
      </c>
    </row>
    <row r="111" spans="1:38" ht="15.75" x14ac:dyDescent="0.25">
      <c r="A111" s="17" t="s">
        <v>361</v>
      </c>
      <c r="D111" s="8"/>
      <c r="AF111" s="106">
        <f>+AF104+AF105+AF106+AF107+AF108+AF109+AF110</f>
        <v>4266.1000000000004</v>
      </c>
      <c r="AG111" s="82" t="s">
        <v>198</v>
      </c>
      <c r="AH111" s="83"/>
      <c r="AJ111" s="107">
        <f>+AJ109-AJ110</f>
        <v>-1057</v>
      </c>
      <c r="AK111" t="s">
        <v>335</v>
      </c>
    </row>
    <row r="112" spans="1:38" x14ac:dyDescent="0.25">
      <c r="A112" s="6" t="s">
        <v>362</v>
      </c>
      <c r="B112" s="15"/>
      <c r="D112" s="8"/>
      <c r="AA112" s="8">
        <f>+AA109/259</f>
        <v>89.779691119691023</v>
      </c>
      <c r="AF112" s="87">
        <f>+AF103+AF111</f>
        <v>7059.85</v>
      </c>
      <c r="AG112" s="88" t="s">
        <v>199</v>
      </c>
      <c r="AH112" s="86"/>
    </row>
    <row r="113" spans="1:37" x14ac:dyDescent="0.25">
      <c r="A113" t="s">
        <v>363</v>
      </c>
      <c r="C113">
        <v>14931.6</v>
      </c>
      <c r="D113" s="8"/>
      <c r="AA113" s="8">
        <f>+AA112*26</f>
        <v>2334.2719691119664</v>
      </c>
      <c r="AE113" s="50">
        <v>104601</v>
      </c>
      <c r="AF113" s="50"/>
      <c r="AG113" s="50"/>
    </row>
    <row r="114" spans="1:37" x14ac:dyDescent="0.25">
      <c r="D114" s="8"/>
      <c r="N114"/>
      <c r="Q114"/>
      <c r="R114"/>
      <c r="AE114" s="50">
        <f>+AF112/AE113</f>
        <v>6.7493140600950283E-2</v>
      </c>
      <c r="AF114" s="50" t="s">
        <v>344</v>
      </c>
      <c r="AG114" s="50"/>
      <c r="AJ114" s="11">
        <f>+V107-V104</f>
        <v>108730.33000000002</v>
      </c>
      <c r="AK114" t="s">
        <v>341</v>
      </c>
    </row>
    <row r="115" spans="1:37" x14ac:dyDescent="0.25">
      <c r="A115" s="6" t="s">
        <v>72</v>
      </c>
      <c r="B115" s="6"/>
      <c r="C115" s="16">
        <f>+C113-C109</f>
        <v>-5.179999999998472</v>
      </c>
      <c r="D115" s="8"/>
      <c r="N115"/>
      <c r="Q115"/>
      <c r="R115"/>
      <c r="AE115" s="50"/>
      <c r="AF115" s="50"/>
      <c r="AG115" s="50"/>
      <c r="AJ115" s="11">
        <f>+V106-AJ114</f>
        <v>59100.669999999984</v>
      </c>
      <c r="AK115" t="s">
        <v>342</v>
      </c>
    </row>
    <row r="116" spans="1:37" x14ac:dyDescent="0.25">
      <c r="A116" s="6" t="s">
        <v>73</v>
      </c>
      <c r="C116" s="18">
        <f>+C18+C115</f>
        <v>36266.82</v>
      </c>
      <c r="D116" s="8"/>
      <c r="N116"/>
      <c r="Q116"/>
      <c r="R116"/>
      <c r="AE116" s="54">
        <f>+AF103+V97</f>
        <v>3261</v>
      </c>
      <c r="AF116" s="50"/>
      <c r="AG116" s="50"/>
      <c r="AJ116" s="8">
        <f>+AJ115/2</f>
        <v>29550.334999999992</v>
      </c>
      <c r="AK116" t="s">
        <v>343</v>
      </c>
    </row>
    <row r="117" spans="1:37" x14ac:dyDescent="0.25">
      <c r="A117" s="19" t="s">
        <v>74</v>
      </c>
      <c r="N117"/>
      <c r="Q117"/>
      <c r="R117"/>
      <c r="AE117" s="50">
        <f>+AE116/AE113</f>
        <v>3.1175610175810938E-2</v>
      </c>
      <c r="AF117" s="50" t="s">
        <v>345</v>
      </c>
      <c r="AG117" s="50"/>
      <c r="AJ117" s="11">
        <f>+AJ116-AK104</f>
        <v>17405.374999999993</v>
      </c>
    </row>
    <row r="118" spans="1:37" x14ac:dyDescent="0.25">
      <c r="AE118" s="135">
        <f>+AE114+AE117</f>
        <v>9.8668750776761224E-2</v>
      </c>
      <c r="AF118" s="50" t="s">
        <v>346</v>
      </c>
      <c r="AG118" s="50"/>
      <c r="AJ118" s="11">
        <f>+AJ116-AK105</f>
        <v>16019.084999999992</v>
      </c>
    </row>
    <row r="119" spans="1:37" x14ac:dyDescent="0.25">
      <c r="AJ119" s="11">
        <f>+AJ117+AJ118</f>
        <v>33424.459999999985</v>
      </c>
    </row>
  </sheetData>
  <mergeCells count="5">
    <mergeCell ref="AF39:AH39"/>
    <mergeCell ref="AE87:AG87"/>
    <mergeCell ref="AF45:AG45"/>
    <mergeCell ref="AF50:AG50"/>
    <mergeCell ref="AE80:AF80"/>
  </mergeCells>
  <printOptions horizontalCentered="1" gridLines="1"/>
  <pageMargins left="0.7" right="0.7" top="0.75" bottom="0.75" header="0.3" footer="0.3"/>
  <pageSetup scale="95" fitToHeight="2" orientation="portrait" horizontalDpi="300" verticalDpi="300" r:id="rId1"/>
  <headerFooter>
    <oddHeader>&amp;C&amp;"-,Bold"&amp;14 2019 Colorado
 NAHRO  Conference Budget</oddHeader>
    <oddFooter>Prepared by Dave &amp;D&amp;RPage &amp;P</oddFooter>
  </headerFooter>
  <rowBreaks count="1" manualBreakCount="1">
    <brk id="58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90"/>
  <sheetViews>
    <sheetView workbookViewId="0">
      <selection activeCell="N18" sqref="N18"/>
    </sheetView>
  </sheetViews>
  <sheetFormatPr defaultRowHeight="15" x14ac:dyDescent="0.25"/>
  <cols>
    <col min="1" max="1" width="28.28515625" customWidth="1"/>
    <col min="2" max="2" width="21.28515625" style="8" customWidth="1"/>
    <col min="3" max="3" width="20.28515625" style="8" customWidth="1"/>
    <col min="4" max="4" width="18.28515625" style="8" customWidth="1"/>
    <col min="5" max="6" width="14.7109375" customWidth="1"/>
    <col min="7" max="7" width="13.7109375" customWidth="1"/>
    <col min="11" max="11" width="11.5703125" bestFit="1" customWidth="1"/>
    <col min="14" max="14" width="14.7109375" customWidth="1"/>
    <col min="15" max="15" width="11.5703125" bestFit="1" customWidth="1"/>
  </cols>
  <sheetData>
    <row r="1" spans="1:15" x14ac:dyDescent="0.25">
      <c r="A1" t="s">
        <v>352</v>
      </c>
      <c r="B1" s="8">
        <v>54198</v>
      </c>
    </row>
    <row r="2" spans="1:15" x14ac:dyDescent="0.25">
      <c r="A2" t="s">
        <v>353</v>
      </c>
      <c r="B2" s="8">
        <v>12979.48</v>
      </c>
      <c r="G2" s="59" t="s">
        <v>394</v>
      </c>
    </row>
    <row r="3" spans="1:15" x14ac:dyDescent="0.25">
      <c r="A3" t="s">
        <v>354</v>
      </c>
      <c r="B3" s="8">
        <v>900</v>
      </c>
      <c r="D3" s="72">
        <f>+C16</f>
        <v>87743.189999999988</v>
      </c>
      <c r="E3" s="51" t="s">
        <v>399</v>
      </c>
      <c r="F3" s="51"/>
      <c r="G3">
        <v>5692.37</v>
      </c>
      <c r="H3" t="s">
        <v>395</v>
      </c>
      <c r="K3" s="8">
        <v>80312.429999999993</v>
      </c>
      <c r="L3" t="s">
        <v>403</v>
      </c>
      <c r="N3" s="144" t="s">
        <v>410</v>
      </c>
      <c r="O3" s="144"/>
    </row>
    <row r="4" spans="1:15" x14ac:dyDescent="0.25">
      <c r="A4" s="50" t="s">
        <v>355</v>
      </c>
      <c r="B4" s="47">
        <f>SUM(B1:B3)</f>
        <v>68077.48</v>
      </c>
      <c r="D4" s="72">
        <f>+B5+B10</f>
        <v>6619.76</v>
      </c>
      <c r="E4" s="51" t="s">
        <v>319</v>
      </c>
      <c r="F4" s="51"/>
      <c r="G4">
        <v>927.39</v>
      </c>
      <c r="H4" t="s">
        <v>396</v>
      </c>
      <c r="K4" s="11">
        <f>+B16</f>
        <v>79501.429999999993</v>
      </c>
      <c r="L4" t="s">
        <v>404</v>
      </c>
      <c r="N4" s="58" t="s">
        <v>411</v>
      </c>
      <c r="O4" s="132">
        <v>68077.48</v>
      </c>
    </row>
    <row r="5" spans="1:15" x14ac:dyDescent="0.25">
      <c r="A5" s="50" t="s">
        <v>392</v>
      </c>
      <c r="B5" s="47">
        <v>5692.37</v>
      </c>
      <c r="D5" s="72">
        <f>+D3-D4</f>
        <v>81123.429999999993</v>
      </c>
      <c r="E5" s="51" t="s">
        <v>400</v>
      </c>
      <c r="F5" s="51"/>
      <c r="G5">
        <v>2520</v>
      </c>
      <c r="H5" t="s">
        <v>232</v>
      </c>
      <c r="K5" s="11">
        <f>+K3-K4</f>
        <v>811</v>
      </c>
      <c r="L5" t="s">
        <v>237</v>
      </c>
      <c r="N5" s="58" t="s">
        <v>185</v>
      </c>
      <c r="O5" s="132">
        <v>13045.95</v>
      </c>
    </row>
    <row r="6" spans="1:15" x14ac:dyDescent="0.25">
      <c r="D6" s="72">
        <f>+B13+B14</f>
        <v>1709</v>
      </c>
      <c r="E6" s="51" t="s">
        <v>407</v>
      </c>
      <c r="F6" s="51"/>
      <c r="G6">
        <f>SUM(G3:G5)</f>
        <v>9139.76</v>
      </c>
      <c r="H6" t="s">
        <v>397</v>
      </c>
      <c r="N6" s="58" t="s">
        <v>412</v>
      </c>
      <c r="O6" s="132">
        <v>-811</v>
      </c>
    </row>
    <row r="7" spans="1:15" x14ac:dyDescent="0.25">
      <c r="A7" t="s">
        <v>356</v>
      </c>
      <c r="B7" s="8">
        <f>8248.9+2007.5</f>
        <v>10256.4</v>
      </c>
      <c r="D7" s="72">
        <f>+D5+D6</f>
        <v>82832.429999999993</v>
      </c>
      <c r="E7" s="51" t="s">
        <v>408</v>
      </c>
      <c r="F7" s="51"/>
      <c r="K7" s="11">
        <f>+K3</f>
        <v>80312.429999999993</v>
      </c>
      <c r="L7" t="s">
        <v>403</v>
      </c>
      <c r="N7" s="58"/>
      <c r="O7" s="142">
        <f>+O4+O5+O6</f>
        <v>80312.429999999993</v>
      </c>
    </row>
    <row r="8" spans="1:15" x14ac:dyDescent="0.25">
      <c r="A8" t="s">
        <v>357</v>
      </c>
      <c r="B8" s="8">
        <v>2789.55</v>
      </c>
      <c r="D8" s="72">
        <f>+D7+B12</f>
        <v>80312.429999999993</v>
      </c>
      <c r="E8" s="51" t="s">
        <v>409</v>
      </c>
      <c r="F8" s="51"/>
      <c r="K8" s="11">
        <f>+B4</f>
        <v>68077.48</v>
      </c>
      <c r="L8" t="s">
        <v>405</v>
      </c>
    </row>
    <row r="9" spans="1:15" x14ac:dyDescent="0.25">
      <c r="A9" s="50" t="s">
        <v>358</v>
      </c>
      <c r="B9" s="47">
        <f>SUM(B7:B8)</f>
        <v>13045.95</v>
      </c>
      <c r="C9" s="8">
        <f>+B4+B9</f>
        <v>81123.429999999993</v>
      </c>
      <c r="D9" s="8">
        <v>2007.5</v>
      </c>
      <c r="I9" s="141" t="s">
        <v>402</v>
      </c>
      <c r="K9" s="11">
        <f>+B9</f>
        <v>13045.95</v>
      </c>
      <c r="L9" t="s">
        <v>185</v>
      </c>
    </row>
    <row r="10" spans="1:15" x14ac:dyDescent="0.25">
      <c r="A10" s="50" t="s">
        <v>393</v>
      </c>
      <c r="B10" s="47">
        <v>927.39</v>
      </c>
      <c r="D10" s="8">
        <f>+D8+D9</f>
        <v>82319.929999999993</v>
      </c>
      <c r="I10" s="141">
        <v>2007.5</v>
      </c>
      <c r="K10" s="11">
        <f>+K8+K9</f>
        <v>81123.429999999993</v>
      </c>
      <c r="L10" t="s">
        <v>406</v>
      </c>
    </row>
    <row r="11" spans="1:15" x14ac:dyDescent="0.25">
      <c r="B11" s="8">
        <f>+B4+B9</f>
        <v>81123.429999999993</v>
      </c>
      <c r="I11" s="141">
        <v>637.04</v>
      </c>
      <c r="K11" s="11">
        <f>+B15</f>
        <v>-811</v>
      </c>
    </row>
    <row r="12" spans="1:15" x14ac:dyDescent="0.25">
      <c r="A12" t="s">
        <v>232</v>
      </c>
      <c r="B12" s="8">
        <v>-2520</v>
      </c>
      <c r="E12" s="11">
        <f>+B4+B5</f>
        <v>73769.849999999991</v>
      </c>
      <c r="F12" t="s">
        <v>401</v>
      </c>
      <c r="I12" s="141">
        <v>6116</v>
      </c>
      <c r="K12" s="11">
        <f>+K10+K11</f>
        <v>80312.429999999993</v>
      </c>
    </row>
    <row r="13" spans="1:15" x14ac:dyDescent="0.25">
      <c r="A13" t="s">
        <v>359</v>
      </c>
      <c r="B13" s="8">
        <v>1440</v>
      </c>
      <c r="C13" s="8">
        <f>+C9+B13+B14</f>
        <v>82832.429999999993</v>
      </c>
      <c r="E13" s="11">
        <f>+B9+B10</f>
        <v>13973.34</v>
      </c>
      <c r="F13" t="s">
        <v>185</v>
      </c>
      <c r="I13" s="141">
        <v>1467.84</v>
      </c>
    </row>
    <row r="14" spans="1:15" x14ac:dyDescent="0.25">
      <c r="A14" t="s">
        <v>398</v>
      </c>
      <c r="B14" s="8">
        <v>269</v>
      </c>
      <c r="C14" s="8">
        <f>+C13+B12</f>
        <v>80312.429999999993</v>
      </c>
      <c r="E14" s="11">
        <f>+E12+E13</f>
        <v>87743.189999999988</v>
      </c>
      <c r="F14" t="s">
        <v>183</v>
      </c>
      <c r="I14" s="141">
        <f>SUM(I10:I13)</f>
        <v>10228.380000000001</v>
      </c>
      <c r="J14" t="s">
        <v>183</v>
      </c>
    </row>
    <row r="15" spans="1:15" x14ac:dyDescent="0.25">
      <c r="B15" s="8">
        <f>+B12+B13+B14</f>
        <v>-811</v>
      </c>
    </row>
    <row r="16" spans="1:15" x14ac:dyDescent="0.25">
      <c r="A16" s="50" t="s">
        <v>360</v>
      </c>
      <c r="B16" s="140">
        <f>+B4+B9+B12+B13++B14+B15</f>
        <v>79501.429999999993</v>
      </c>
      <c r="C16" s="8">
        <f>+B1+B2+B3+B5+B7+B8+B10</f>
        <v>87743.189999999988</v>
      </c>
      <c r="D16" s="8">
        <f>+B16-B13</f>
        <v>78061.429999999993</v>
      </c>
    </row>
    <row r="17" spans="1:5" x14ac:dyDescent="0.25">
      <c r="E17" s="11"/>
    </row>
    <row r="18" spans="1:5" x14ac:dyDescent="0.25">
      <c r="B18" s="74" t="s">
        <v>238</v>
      </c>
      <c r="C18" s="74" t="s">
        <v>239</v>
      </c>
      <c r="D18" s="74" t="s">
        <v>287</v>
      </c>
    </row>
    <row r="19" spans="1:5" ht="26.25" x14ac:dyDescent="0.4">
      <c r="A19" s="100" t="s">
        <v>192</v>
      </c>
    </row>
    <row r="20" spans="1:5" x14ac:dyDescent="0.25">
      <c r="A20" t="s">
        <v>241</v>
      </c>
    </row>
    <row r="21" spans="1:5" x14ac:dyDescent="0.25">
      <c r="A21" t="s">
        <v>243</v>
      </c>
    </row>
    <row r="22" spans="1:5" x14ac:dyDescent="0.25">
      <c r="A22" t="s">
        <v>246</v>
      </c>
    </row>
    <row r="23" spans="1:5" x14ac:dyDescent="0.25">
      <c r="A23" t="s">
        <v>248</v>
      </c>
    </row>
    <row r="24" spans="1:5" x14ac:dyDescent="0.25">
      <c r="A24" t="s">
        <v>247</v>
      </c>
    </row>
    <row r="25" spans="1:5" x14ac:dyDescent="0.25">
      <c r="A25" s="50" t="s">
        <v>249</v>
      </c>
      <c r="B25" s="47"/>
      <c r="C25" s="47">
        <f>SUM(C20:C24)</f>
        <v>0</v>
      </c>
    </row>
    <row r="26" spans="1:5" x14ac:dyDescent="0.25">
      <c r="A26" t="s">
        <v>250</v>
      </c>
    </row>
    <row r="27" spans="1:5" x14ac:dyDescent="0.25">
      <c r="A27" t="s">
        <v>251</v>
      </c>
    </row>
    <row r="28" spans="1:5" x14ac:dyDescent="0.25">
      <c r="A28" t="s">
        <v>247</v>
      </c>
    </row>
    <row r="29" spans="1:5" x14ac:dyDescent="0.25">
      <c r="A29" t="s">
        <v>256</v>
      </c>
    </row>
    <row r="30" spans="1:5" x14ac:dyDescent="0.25">
      <c r="A30" s="50" t="s">
        <v>257</v>
      </c>
      <c r="B30" s="47"/>
      <c r="C30" s="47">
        <f>SUM(C26:C29)</f>
        <v>0</v>
      </c>
    </row>
    <row r="31" spans="1:5" x14ac:dyDescent="0.25">
      <c r="A31" t="s">
        <v>259</v>
      </c>
    </row>
    <row r="32" spans="1:5" x14ac:dyDescent="0.25">
      <c r="A32" t="s">
        <v>260</v>
      </c>
    </row>
    <row r="33" spans="1:3" x14ac:dyDescent="0.25">
      <c r="A33" t="s">
        <v>262</v>
      </c>
    </row>
    <row r="34" spans="1:3" x14ac:dyDescent="0.25">
      <c r="A34" t="s">
        <v>263</v>
      </c>
    </row>
    <row r="35" spans="1:3" x14ac:dyDescent="0.25">
      <c r="A35" t="s">
        <v>263</v>
      </c>
    </row>
    <row r="36" spans="1:3" x14ac:dyDescent="0.25">
      <c r="A36" t="s">
        <v>263</v>
      </c>
    </row>
    <row r="37" spans="1:3" x14ac:dyDescent="0.25">
      <c r="A37" t="s">
        <v>263</v>
      </c>
    </row>
    <row r="38" spans="1:3" x14ac:dyDescent="0.25">
      <c r="A38" s="50" t="s">
        <v>264</v>
      </c>
      <c r="B38" s="47"/>
      <c r="C38" s="47">
        <f>SUM(C31:C37)</f>
        <v>0</v>
      </c>
    </row>
    <row r="39" spans="1:3" x14ac:dyDescent="0.25">
      <c r="A39" t="s">
        <v>268</v>
      </c>
    </row>
    <row r="40" spans="1:3" x14ac:dyDescent="0.25">
      <c r="A40" t="s">
        <v>269</v>
      </c>
    </row>
    <row r="41" spans="1:3" x14ac:dyDescent="0.25">
      <c r="A41" t="s">
        <v>271</v>
      </c>
    </row>
    <row r="42" spans="1:3" x14ac:dyDescent="0.25">
      <c r="A42" t="s">
        <v>272</v>
      </c>
    </row>
    <row r="43" spans="1:3" x14ac:dyDescent="0.25">
      <c r="A43" t="s">
        <v>272</v>
      </c>
    </row>
    <row r="44" spans="1:3" x14ac:dyDescent="0.25">
      <c r="A44" t="s">
        <v>272</v>
      </c>
    </row>
    <row r="45" spans="1:3" x14ac:dyDescent="0.25">
      <c r="A45" t="s">
        <v>272</v>
      </c>
    </row>
    <row r="46" spans="1:3" x14ac:dyDescent="0.25">
      <c r="A46" s="50" t="s">
        <v>274</v>
      </c>
      <c r="B46" s="47"/>
      <c r="C46" s="47">
        <f>SUM(C39:C45)</f>
        <v>0</v>
      </c>
    </row>
    <row r="47" spans="1:3" x14ac:dyDescent="0.25">
      <c r="A47" t="s">
        <v>276</v>
      </c>
    </row>
    <row r="48" spans="1:3" x14ac:dyDescent="0.25">
      <c r="A48" t="s">
        <v>277</v>
      </c>
    </row>
    <row r="49" spans="1:4" x14ac:dyDescent="0.25">
      <c r="A49" s="50" t="s">
        <v>278</v>
      </c>
      <c r="B49" s="47"/>
      <c r="C49" s="47">
        <f>SUM(C47:C48)</f>
        <v>0</v>
      </c>
    </row>
    <row r="50" spans="1:4" x14ac:dyDescent="0.25">
      <c r="A50" s="102" t="s">
        <v>279</v>
      </c>
      <c r="B50" s="103"/>
      <c r="C50" s="103">
        <f>+C25+C30+C38+C46+C49</f>
        <v>0</v>
      </c>
      <c r="D50" s="47">
        <v>11612.6</v>
      </c>
    </row>
    <row r="52" spans="1:4" x14ac:dyDescent="0.25">
      <c r="A52" t="s">
        <v>35</v>
      </c>
    </row>
    <row r="53" spans="1:4" ht="26.25" x14ac:dyDescent="0.4">
      <c r="A53" s="100" t="s">
        <v>193</v>
      </c>
      <c r="B53" s="8">
        <f>+Budget!T38</f>
        <v>65528.04</v>
      </c>
    </row>
    <row r="54" spans="1:4" x14ac:dyDescent="0.25">
      <c r="A54" t="s">
        <v>254</v>
      </c>
      <c r="C54" s="8">
        <f>4094+982.56</f>
        <v>5076.5599999999995</v>
      </c>
    </row>
    <row r="55" spans="1:4" x14ac:dyDescent="0.25">
      <c r="A55" t="s">
        <v>242</v>
      </c>
      <c r="C55" s="8">
        <f>2394+754.56</f>
        <v>3148.56</v>
      </c>
    </row>
    <row r="56" spans="1:4" x14ac:dyDescent="0.25">
      <c r="A56" t="s">
        <v>244</v>
      </c>
      <c r="C56" s="8">
        <v>100</v>
      </c>
    </row>
    <row r="57" spans="1:4" x14ac:dyDescent="0.25">
      <c r="A57" t="s">
        <v>245</v>
      </c>
      <c r="C57" s="8">
        <v>750</v>
      </c>
    </row>
    <row r="58" spans="1:4" x14ac:dyDescent="0.25">
      <c r="A58" s="50" t="s">
        <v>252</v>
      </c>
      <c r="B58" s="47"/>
      <c r="C58" s="47">
        <f>SUM(C54:C57)</f>
        <v>9075.119999999999</v>
      </c>
    </row>
    <row r="59" spans="1:4" x14ac:dyDescent="0.25">
      <c r="A59" t="s">
        <v>253</v>
      </c>
      <c r="C59" s="8">
        <f>597+143.28</f>
        <v>740.28</v>
      </c>
    </row>
    <row r="60" spans="1:4" x14ac:dyDescent="0.25">
      <c r="A60" t="s">
        <v>255</v>
      </c>
      <c r="C60" s="8">
        <f>4200+1008</f>
        <v>5208</v>
      </c>
    </row>
    <row r="61" spans="1:4" x14ac:dyDescent="0.25">
      <c r="A61" s="50" t="s">
        <v>257</v>
      </c>
      <c r="B61" s="47"/>
      <c r="C61" s="47">
        <f>SUM(C59:C60)</f>
        <v>5948.28</v>
      </c>
    </row>
    <row r="62" spans="1:4" x14ac:dyDescent="0.25">
      <c r="A62" t="s">
        <v>258</v>
      </c>
      <c r="C62" s="8">
        <f>9920+2380.8</f>
        <v>12300.8</v>
      </c>
    </row>
    <row r="63" spans="1:4" x14ac:dyDescent="0.25">
      <c r="A63" t="s">
        <v>261</v>
      </c>
      <c r="C63" s="8">
        <f>1840+680.64</f>
        <v>2520.64</v>
      </c>
    </row>
    <row r="64" spans="1:4" x14ac:dyDescent="0.25">
      <c r="A64" s="50" t="s">
        <v>264</v>
      </c>
      <c r="B64" s="47"/>
      <c r="C64" s="47">
        <f>SUM(C62:C63)</f>
        <v>14821.439999999999</v>
      </c>
    </row>
    <row r="65" spans="1:7" x14ac:dyDescent="0.25">
      <c r="A65" t="s">
        <v>265</v>
      </c>
      <c r="C65" s="8">
        <f>4590+5820+10320+5482.8</f>
        <v>26212.799999999999</v>
      </c>
    </row>
    <row r="66" spans="1:7" x14ac:dyDescent="0.25">
      <c r="A66" t="s">
        <v>266</v>
      </c>
      <c r="C66" s="8">
        <f>248+1096+296</f>
        <v>1640</v>
      </c>
    </row>
    <row r="67" spans="1:7" x14ac:dyDescent="0.25">
      <c r="A67" t="s">
        <v>267</v>
      </c>
      <c r="C67" s="8">
        <v>475</v>
      </c>
    </row>
    <row r="68" spans="1:7" x14ac:dyDescent="0.25">
      <c r="A68" t="s">
        <v>270</v>
      </c>
      <c r="C68" s="8">
        <v>200</v>
      </c>
    </row>
    <row r="69" spans="1:7" x14ac:dyDescent="0.25">
      <c r="A69" t="s">
        <v>273</v>
      </c>
      <c r="C69" s="8">
        <f>1625+390</f>
        <v>2015</v>
      </c>
    </row>
    <row r="70" spans="1:7" x14ac:dyDescent="0.25">
      <c r="A70" s="50" t="s">
        <v>274</v>
      </c>
      <c r="B70" s="47"/>
      <c r="C70" s="47">
        <f>SUM(C65:C69)</f>
        <v>30542.799999999999</v>
      </c>
    </row>
    <row r="71" spans="1:7" x14ac:dyDescent="0.25">
      <c r="A71" t="s">
        <v>275</v>
      </c>
      <c r="C71" s="8">
        <f>3060+734.4</f>
        <v>3794.4</v>
      </c>
    </row>
    <row r="72" spans="1:7" x14ac:dyDescent="0.25">
      <c r="A72" s="50" t="s">
        <v>278</v>
      </c>
      <c r="B72" s="47"/>
      <c r="C72" s="47">
        <f>+C71</f>
        <v>3794.4</v>
      </c>
    </row>
    <row r="73" spans="1:7" x14ac:dyDescent="0.25">
      <c r="A73" s="102" t="s">
        <v>280</v>
      </c>
      <c r="B73" s="103"/>
      <c r="C73" s="103">
        <f>+C58+C61+C64+C70+C72</f>
        <v>64182.04</v>
      </c>
      <c r="D73" s="47">
        <v>65528.04</v>
      </c>
    </row>
    <row r="75" spans="1:7" x14ac:dyDescent="0.25">
      <c r="A75" s="50" t="s">
        <v>194</v>
      </c>
      <c r="B75" s="47">
        <f>SUM(B19:B74)</f>
        <v>65528.04</v>
      </c>
      <c r="C75" s="8">
        <f>+C50+C73</f>
        <v>64182.04</v>
      </c>
      <c r="D75" s="8">
        <f>+D73+D50</f>
        <v>77140.639999999999</v>
      </c>
    </row>
    <row r="78" spans="1:7" ht="21" x14ac:dyDescent="0.35">
      <c r="A78" s="101" t="s">
        <v>236</v>
      </c>
    </row>
    <row r="79" spans="1:7" x14ac:dyDescent="0.25">
      <c r="A79" t="s">
        <v>229</v>
      </c>
      <c r="B79" s="8">
        <v>79032.91</v>
      </c>
      <c r="D79" s="8">
        <f>+D75</f>
        <v>77140.639999999999</v>
      </c>
      <c r="F79" s="50" t="s">
        <v>284</v>
      </c>
      <c r="G79" s="54">
        <f>+D50+D80+D81</f>
        <v>11837.75</v>
      </c>
    </row>
    <row r="80" spans="1:7" x14ac:dyDescent="0.25">
      <c r="A80" t="s">
        <v>230</v>
      </c>
      <c r="B80" s="8">
        <v>50</v>
      </c>
      <c r="D80" s="8">
        <f>+B80</f>
        <v>50</v>
      </c>
      <c r="F80" s="50" t="s">
        <v>285</v>
      </c>
      <c r="G80" s="54">
        <f>+D73</f>
        <v>65528.04</v>
      </c>
    </row>
    <row r="81" spans="1:7" x14ac:dyDescent="0.25">
      <c r="A81" t="s">
        <v>231</v>
      </c>
      <c r="B81" s="8">
        <v>175.15</v>
      </c>
      <c r="D81" s="8">
        <f>+B81</f>
        <v>175.15</v>
      </c>
      <c r="F81" s="50" t="s">
        <v>286</v>
      </c>
      <c r="G81" s="54">
        <f>+E85</f>
        <v>-1331.1000000000001</v>
      </c>
    </row>
    <row r="82" spans="1:7" x14ac:dyDescent="0.25">
      <c r="A82" t="s">
        <v>281</v>
      </c>
      <c r="D82" s="8">
        <v>1033.29</v>
      </c>
    </row>
    <row r="83" spans="1:7" x14ac:dyDescent="0.25">
      <c r="A83" t="s">
        <v>232</v>
      </c>
      <c r="B83" s="8">
        <v>-2277</v>
      </c>
      <c r="D83" s="8">
        <f>+B83</f>
        <v>-2277</v>
      </c>
    </row>
    <row r="84" spans="1:7" x14ac:dyDescent="0.25">
      <c r="A84" t="s">
        <v>234</v>
      </c>
      <c r="B84" s="8">
        <v>-5483.36</v>
      </c>
    </row>
    <row r="85" spans="1:7" x14ac:dyDescent="0.25">
      <c r="A85" t="s">
        <v>233</v>
      </c>
      <c r="B85" s="8">
        <v>-87.39</v>
      </c>
      <c r="D85" s="8">
        <f>+B85</f>
        <v>-87.39</v>
      </c>
      <c r="E85" s="11">
        <f>+D82+D83+D85</f>
        <v>-1331.1000000000001</v>
      </c>
      <c r="F85" t="s">
        <v>283</v>
      </c>
    </row>
    <row r="86" spans="1:7" x14ac:dyDescent="0.25">
      <c r="A86" t="s">
        <v>235</v>
      </c>
      <c r="B86" s="8">
        <v>-975.62</v>
      </c>
    </row>
    <row r="87" spans="1:7" x14ac:dyDescent="0.25">
      <c r="A87" s="50" t="s">
        <v>194</v>
      </c>
      <c r="B87" s="47">
        <f>SUM(B79:B86)</f>
        <v>70434.69</v>
      </c>
      <c r="D87" s="8">
        <f>SUM(D79:D86)</f>
        <v>76034.689999999988</v>
      </c>
      <c r="F87" s="11">
        <f>+D79+D80+D81+E85</f>
        <v>76034.689999999988</v>
      </c>
      <c r="G87" s="11">
        <f>SUM(G79:G86)</f>
        <v>76034.69</v>
      </c>
    </row>
    <row r="88" spans="1:7" x14ac:dyDescent="0.25">
      <c r="D88" s="8">
        <v>-70000</v>
      </c>
    </row>
    <row r="89" spans="1:7" x14ac:dyDescent="0.25">
      <c r="A89" t="s">
        <v>237</v>
      </c>
      <c r="B89" s="8">
        <f>+B75-B87</f>
        <v>-4906.6500000000015</v>
      </c>
      <c r="D89" s="8">
        <v>-5600</v>
      </c>
    </row>
    <row r="90" spans="1:7" x14ac:dyDescent="0.25">
      <c r="C90" s="47" t="s">
        <v>282</v>
      </c>
      <c r="D90" s="47">
        <f>SUM(D87:D89)</f>
        <v>434.68999999998778</v>
      </c>
    </row>
  </sheetData>
  <mergeCells count="1">
    <mergeCell ref="N3:O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E36" sqref="E36"/>
    </sheetView>
  </sheetViews>
  <sheetFormatPr defaultRowHeight="15" x14ac:dyDescent="0.25"/>
  <cols>
    <col min="1" max="1" width="30.5703125" customWidth="1"/>
    <col min="2" max="2" width="18.5703125" customWidth="1"/>
    <col min="4" max="4" width="11.28515625" customWidth="1"/>
    <col min="9" max="9" width="10" bestFit="1" customWidth="1"/>
  </cols>
  <sheetData>
    <row r="1" spans="1:9" x14ac:dyDescent="0.25">
      <c r="A1" s="108" t="s">
        <v>332</v>
      </c>
      <c r="B1" s="109"/>
      <c r="C1" s="109"/>
      <c r="D1" s="110"/>
      <c r="E1" s="110"/>
      <c r="F1" s="110"/>
      <c r="G1" s="110"/>
      <c r="H1" s="111"/>
    </row>
    <row r="2" spans="1:9" x14ac:dyDescent="0.25">
      <c r="A2" s="112"/>
      <c r="H2" s="113"/>
    </row>
    <row r="3" spans="1:9" x14ac:dyDescent="0.25">
      <c r="A3" s="114" t="s">
        <v>10</v>
      </c>
      <c r="H3" s="113"/>
    </row>
    <row r="4" spans="1:9" x14ac:dyDescent="0.25">
      <c r="A4" s="112" t="s">
        <v>326</v>
      </c>
      <c r="B4" s="11">
        <v>105101</v>
      </c>
      <c r="H4" s="113"/>
    </row>
    <row r="5" spans="1:9" x14ac:dyDescent="0.25">
      <c r="A5" s="112" t="s">
        <v>13</v>
      </c>
      <c r="B5" s="8">
        <v>62730</v>
      </c>
      <c r="H5" s="113"/>
    </row>
    <row r="6" spans="1:9" x14ac:dyDescent="0.25">
      <c r="A6" s="115" t="s">
        <v>14</v>
      </c>
      <c r="B6" s="13">
        <f>SUM(B4:B5)</f>
        <v>167831</v>
      </c>
      <c r="H6" s="113"/>
    </row>
    <row r="7" spans="1:9" x14ac:dyDescent="0.25">
      <c r="A7" s="116"/>
      <c r="H7" s="113"/>
    </row>
    <row r="8" spans="1:9" x14ac:dyDescent="0.25">
      <c r="A8" s="115" t="s">
        <v>70</v>
      </c>
      <c r="B8" s="117">
        <v>133540</v>
      </c>
      <c r="C8" s="118" t="s">
        <v>339</v>
      </c>
      <c r="H8" s="113"/>
      <c r="I8" s="10">
        <f>+B8-12144</f>
        <v>121396</v>
      </c>
    </row>
    <row r="9" spans="1:9" x14ac:dyDescent="0.25">
      <c r="A9" s="119" t="s">
        <v>327</v>
      </c>
      <c r="B9" s="54">
        <f>+B6-B8</f>
        <v>34291</v>
      </c>
      <c r="H9" s="113"/>
      <c r="I9" s="10">
        <f>+B6-I8</f>
        <v>46435</v>
      </c>
    </row>
    <row r="10" spans="1:9" x14ac:dyDescent="0.25">
      <c r="A10" s="115" t="s">
        <v>328</v>
      </c>
      <c r="B10" s="47">
        <f>+B9/2</f>
        <v>17145.5</v>
      </c>
      <c r="H10" s="113"/>
    </row>
    <row r="11" spans="1:9" x14ac:dyDescent="0.25">
      <c r="A11" s="112"/>
      <c r="B11" s="8"/>
      <c r="H11" s="113"/>
    </row>
    <row r="12" spans="1:9" x14ac:dyDescent="0.25">
      <c r="A12" s="120" t="s">
        <v>329</v>
      </c>
      <c r="B12" s="8"/>
      <c r="H12" s="113"/>
    </row>
    <row r="13" spans="1:9" x14ac:dyDescent="0.25">
      <c r="A13" s="112" t="s">
        <v>330</v>
      </c>
      <c r="B13" s="47">
        <v>12144.96</v>
      </c>
      <c r="H13" s="113"/>
    </row>
    <row r="14" spans="1:9" x14ac:dyDescent="0.25">
      <c r="A14" s="112"/>
      <c r="B14" s="50"/>
      <c r="H14" s="113"/>
    </row>
    <row r="15" spans="1:9" x14ac:dyDescent="0.25">
      <c r="A15" s="121" t="s">
        <v>331</v>
      </c>
      <c r="B15" s="122">
        <f>+B10+B13</f>
        <v>29290.46</v>
      </c>
      <c r="H15" s="113"/>
    </row>
    <row r="16" spans="1:9" x14ac:dyDescent="0.25">
      <c r="A16" s="112"/>
      <c r="H16" s="113"/>
    </row>
    <row r="17" spans="1:8" x14ac:dyDescent="0.25">
      <c r="A17" s="120" t="s">
        <v>337</v>
      </c>
      <c r="H17" s="113"/>
    </row>
    <row r="18" spans="1:8" x14ac:dyDescent="0.25">
      <c r="A18" s="112" t="s">
        <v>340</v>
      </c>
      <c r="H18" s="113"/>
    </row>
    <row r="19" spans="1:8" ht="15.75" thickBot="1" x14ac:dyDescent="0.3">
      <c r="A19" s="123" t="s">
        <v>338</v>
      </c>
      <c r="B19" s="124"/>
      <c r="C19" s="124"/>
      <c r="D19" s="124"/>
      <c r="E19" s="124"/>
      <c r="F19" s="124"/>
      <c r="G19" s="124"/>
      <c r="H19" s="125"/>
    </row>
    <row r="22" spans="1:8" x14ac:dyDescent="0.25">
      <c r="E22">
        <f>121395+12144.96</f>
        <v>133539.96</v>
      </c>
    </row>
    <row r="24" spans="1:8" x14ac:dyDescent="0.25">
      <c r="A24" s="134" t="s">
        <v>332</v>
      </c>
      <c r="B24" s="64"/>
      <c r="C24" s="53"/>
    </row>
    <row r="25" spans="1:8" x14ac:dyDescent="0.25">
      <c r="A25" s="51"/>
      <c r="B25" s="51"/>
    </row>
    <row r="26" spans="1:8" x14ac:dyDescent="0.25">
      <c r="A26" s="71" t="s">
        <v>10</v>
      </c>
      <c r="B26" s="51"/>
    </row>
    <row r="27" spans="1:8" x14ac:dyDescent="0.25">
      <c r="A27" s="51" t="s">
        <v>326</v>
      </c>
      <c r="B27" s="73">
        <v>105101</v>
      </c>
    </row>
    <row r="28" spans="1:8" x14ac:dyDescent="0.25">
      <c r="A28" s="51" t="s">
        <v>13</v>
      </c>
      <c r="B28" s="72">
        <v>62730</v>
      </c>
    </row>
    <row r="29" spans="1:8" x14ac:dyDescent="0.25">
      <c r="A29" s="126" t="s">
        <v>14</v>
      </c>
      <c r="B29" s="127">
        <f>SUM(B27:B28)</f>
        <v>167831</v>
      </c>
    </row>
    <row r="30" spans="1:8" x14ac:dyDescent="0.25">
      <c r="A30" s="128"/>
      <c r="B30" s="51"/>
    </row>
    <row r="31" spans="1:8" x14ac:dyDescent="0.25">
      <c r="A31" s="126" t="s">
        <v>70</v>
      </c>
      <c r="B31" s="129">
        <v>133540</v>
      </c>
      <c r="C31" s="118"/>
    </row>
    <row r="32" spans="1:8" x14ac:dyDescent="0.25">
      <c r="A32" s="130" t="s">
        <v>327</v>
      </c>
      <c r="B32" s="131">
        <f>+B29-B31</f>
        <v>34291</v>
      </c>
    </row>
    <row r="33" spans="1:2" x14ac:dyDescent="0.25">
      <c r="A33" s="126" t="s">
        <v>328</v>
      </c>
      <c r="B33" s="132">
        <f>+B32/2</f>
        <v>17145.5</v>
      </c>
    </row>
    <row r="34" spans="1:2" x14ac:dyDescent="0.25">
      <c r="A34" s="51"/>
      <c r="B34" s="72"/>
    </row>
    <row r="35" spans="1:2" x14ac:dyDescent="0.25">
      <c r="A35" s="58" t="s">
        <v>329</v>
      </c>
      <c r="B35" s="72"/>
    </row>
    <row r="36" spans="1:2" x14ac:dyDescent="0.25">
      <c r="A36" s="51" t="s">
        <v>330</v>
      </c>
      <c r="B36" s="132">
        <v>12144.96</v>
      </c>
    </row>
    <row r="37" spans="1:2" x14ac:dyDescent="0.25">
      <c r="A37" s="51"/>
      <c r="B37" s="58"/>
    </row>
    <row r="38" spans="1:2" x14ac:dyDescent="0.25">
      <c r="A38" s="65" t="s">
        <v>331</v>
      </c>
      <c r="B38" s="133">
        <f>+B33+B36</f>
        <v>29290.46</v>
      </c>
    </row>
    <row r="40" spans="1:2" x14ac:dyDescent="0.25">
      <c r="A40" s="50" t="s">
        <v>337</v>
      </c>
    </row>
    <row r="41" spans="1:2" x14ac:dyDescent="0.25">
      <c r="A41" t="s">
        <v>340</v>
      </c>
    </row>
    <row r="42" spans="1:2" x14ac:dyDescent="0.25">
      <c r="A42" t="s">
        <v>338</v>
      </c>
    </row>
  </sheetData>
  <pageMargins left="0.7" right="0.7" top="0.75" bottom="0.75" header="0.3" footer="0.3"/>
  <pageSetup scale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E17" sqref="E17"/>
    </sheetView>
  </sheetViews>
  <sheetFormatPr defaultRowHeight="15" x14ac:dyDescent="0.25"/>
  <cols>
    <col min="1" max="1" width="16.140625" customWidth="1"/>
    <col min="2" max="4" width="10.7109375" customWidth="1"/>
    <col min="5" max="5" width="14.28515625" customWidth="1"/>
  </cols>
  <sheetData>
    <row r="1" spans="1:5" x14ac:dyDescent="0.25">
      <c r="A1" s="58" t="s">
        <v>180</v>
      </c>
      <c r="B1" s="58" t="s">
        <v>291</v>
      </c>
      <c r="C1" s="58" t="s">
        <v>301</v>
      </c>
      <c r="D1" s="58" t="s">
        <v>302</v>
      </c>
      <c r="E1" s="58" t="s">
        <v>292</v>
      </c>
    </row>
    <row r="2" spans="1:5" x14ac:dyDescent="0.25">
      <c r="A2" s="51" t="s">
        <v>293</v>
      </c>
      <c r="B2" s="51" t="s">
        <v>304</v>
      </c>
      <c r="C2" s="104">
        <v>42879</v>
      </c>
      <c r="D2" s="104">
        <v>42880</v>
      </c>
      <c r="E2" s="51"/>
    </row>
    <row r="3" spans="1:5" x14ac:dyDescent="0.25">
      <c r="A3" s="51" t="s">
        <v>294</v>
      </c>
      <c r="B3" s="51" t="s">
        <v>304</v>
      </c>
      <c r="C3" s="104">
        <v>42878</v>
      </c>
      <c r="D3" s="104">
        <v>42879</v>
      </c>
      <c r="E3" s="51"/>
    </row>
    <row r="4" spans="1:5" x14ac:dyDescent="0.25">
      <c r="A4" s="51" t="s">
        <v>295</v>
      </c>
      <c r="B4" s="51" t="s">
        <v>304</v>
      </c>
      <c r="C4" s="104">
        <v>42879</v>
      </c>
      <c r="D4" s="104">
        <v>42880</v>
      </c>
      <c r="E4" s="51"/>
    </row>
    <row r="5" spans="1:5" x14ac:dyDescent="0.25">
      <c r="A5" s="51" t="s">
        <v>296</v>
      </c>
      <c r="B5" s="51" t="s">
        <v>304</v>
      </c>
      <c r="C5" s="104">
        <v>42877</v>
      </c>
      <c r="D5" s="104">
        <v>42878</v>
      </c>
      <c r="E5" s="51"/>
    </row>
    <row r="6" spans="1:5" x14ac:dyDescent="0.25">
      <c r="A6" s="51" t="s">
        <v>305</v>
      </c>
      <c r="B6" s="51" t="s">
        <v>304</v>
      </c>
      <c r="C6" s="104">
        <v>42876</v>
      </c>
      <c r="D6" s="104">
        <v>42877</v>
      </c>
      <c r="E6" s="51"/>
    </row>
    <row r="7" spans="1:5" x14ac:dyDescent="0.25">
      <c r="A7" s="51" t="s">
        <v>306</v>
      </c>
      <c r="B7" s="51" t="s">
        <v>304</v>
      </c>
      <c r="C7" s="104">
        <v>42876</v>
      </c>
      <c r="D7" s="104">
        <v>42877</v>
      </c>
      <c r="E7" s="51"/>
    </row>
    <row r="8" spans="1:5" x14ac:dyDescent="0.25">
      <c r="A8" s="51" t="s">
        <v>297</v>
      </c>
      <c r="B8" s="51" t="s">
        <v>304</v>
      </c>
      <c r="C8" s="104">
        <v>42878</v>
      </c>
      <c r="D8" s="104">
        <v>42881</v>
      </c>
      <c r="E8" s="51"/>
    </row>
    <row r="9" spans="1:5" x14ac:dyDescent="0.25">
      <c r="A9" s="51" t="s">
        <v>298</v>
      </c>
      <c r="B9" s="51" t="s">
        <v>304</v>
      </c>
      <c r="C9" s="104">
        <v>42878</v>
      </c>
      <c r="D9" s="104">
        <v>42881</v>
      </c>
      <c r="E9" s="51"/>
    </row>
    <row r="10" spans="1:5" x14ac:dyDescent="0.25">
      <c r="A10" s="51"/>
      <c r="B10" s="51"/>
      <c r="C10" s="51"/>
      <c r="D10" s="51"/>
      <c r="E10" s="51"/>
    </row>
    <row r="11" spans="1:5" x14ac:dyDescent="0.25">
      <c r="A11" s="58" t="s">
        <v>307</v>
      </c>
      <c r="B11" s="51"/>
      <c r="C11" s="51"/>
      <c r="D11" s="51"/>
      <c r="E11" s="51"/>
    </row>
    <row r="12" spans="1:5" x14ac:dyDescent="0.25">
      <c r="A12" s="51" t="s">
        <v>299</v>
      </c>
      <c r="B12" s="51" t="s">
        <v>304</v>
      </c>
      <c r="C12" s="104">
        <v>42878</v>
      </c>
      <c r="D12" s="104">
        <v>42881</v>
      </c>
      <c r="E12" s="51"/>
    </row>
    <row r="13" spans="1:5" x14ac:dyDescent="0.25">
      <c r="A13" s="51" t="s">
        <v>303</v>
      </c>
      <c r="B13" s="51" t="s">
        <v>304</v>
      </c>
      <c r="C13" s="104">
        <v>42878</v>
      </c>
      <c r="D13" s="104">
        <v>42881</v>
      </c>
      <c r="E13" s="51"/>
    </row>
    <row r="14" spans="1:5" x14ac:dyDescent="0.25">
      <c r="A14" s="51" t="s">
        <v>300</v>
      </c>
      <c r="B14" s="51" t="s">
        <v>304</v>
      </c>
      <c r="C14" s="104">
        <v>42876</v>
      </c>
      <c r="D14" s="104">
        <v>42881</v>
      </c>
      <c r="E14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74"/>
  <sheetViews>
    <sheetView workbookViewId="0">
      <selection activeCell="B70" sqref="B70"/>
    </sheetView>
  </sheetViews>
  <sheetFormatPr defaultRowHeight="15" x14ac:dyDescent="0.25"/>
  <cols>
    <col min="1" max="1" width="41.5703125" customWidth="1"/>
    <col min="2" max="2" width="37.85546875" customWidth="1"/>
    <col min="3" max="3" width="9.28515625" customWidth="1"/>
    <col min="4" max="4" width="10.85546875" bestFit="1" customWidth="1"/>
    <col min="5" max="5" width="17.140625" customWidth="1"/>
    <col min="6" max="6" width="17" customWidth="1"/>
    <col min="7" max="7" width="17.5703125" style="8" customWidth="1"/>
    <col min="8" max="8" width="14.5703125" customWidth="1"/>
    <col min="9" max="9" width="14.42578125" customWidth="1"/>
    <col min="257" max="257" width="41.5703125" customWidth="1"/>
    <col min="258" max="258" width="20.5703125" customWidth="1"/>
    <col min="259" max="259" width="9.28515625" customWidth="1"/>
    <col min="261" max="261" width="17.140625" customWidth="1"/>
    <col min="262" max="262" width="17" customWidth="1"/>
    <col min="263" max="263" width="17.5703125" customWidth="1"/>
    <col min="264" max="264" width="14.5703125" customWidth="1"/>
    <col min="513" max="513" width="41.5703125" customWidth="1"/>
    <col min="514" max="514" width="20.5703125" customWidth="1"/>
    <col min="515" max="515" width="9.28515625" customWidth="1"/>
    <col min="517" max="517" width="17.140625" customWidth="1"/>
    <col min="518" max="518" width="17" customWidth="1"/>
    <col min="519" max="519" width="17.5703125" customWidth="1"/>
    <col min="520" max="520" width="14.5703125" customWidth="1"/>
    <col min="769" max="769" width="41.5703125" customWidth="1"/>
    <col min="770" max="770" width="20.5703125" customWidth="1"/>
    <col min="771" max="771" width="9.28515625" customWidth="1"/>
    <col min="773" max="773" width="17.140625" customWidth="1"/>
    <col min="774" max="774" width="17" customWidth="1"/>
    <col min="775" max="775" width="17.5703125" customWidth="1"/>
    <col min="776" max="776" width="14.5703125" customWidth="1"/>
    <col min="1025" max="1025" width="41.5703125" customWidth="1"/>
    <col min="1026" max="1026" width="20.5703125" customWidth="1"/>
    <col min="1027" max="1027" width="9.28515625" customWidth="1"/>
    <col min="1029" max="1029" width="17.140625" customWidth="1"/>
    <col min="1030" max="1030" width="17" customWidth="1"/>
    <col min="1031" max="1031" width="17.5703125" customWidth="1"/>
    <col min="1032" max="1032" width="14.5703125" customWidth="1"/>
    <col min="1281" max="1281" width="41.5703125" customWidth="1"/>
    <col min="1282" max="1282" width="20.5703125" customWidth="1"/>
    <col min="1283" max="1283" width="9.28515625" customWidth="1"/>
    <col min="1285" max="1285" width="17.140625" customWidth="1"/>
    <col min="1286" max="1286" width="17" customWidth="1"/>
    <col min="1287" max="1287" width="17.5703125" customWidth="1"/>
    <col min="1288" max="1288" width="14.5703125" customWidth="1"/>
    <col min="1537" max="1537" width="41.5703125" customWidth="1"/>
    <col min="1538" max="1538" width="20.5703125" customWidth="1"/>
    <col min="1539" max="1539" width="9.28515625" customWidth="1"/>
    <col min="1541" max="1541" width="17.140625" customWidth="1"/>
    <col min="1542" max="1542" width="17" customWidth="1"/>
    <col min="1543" max="1543" width="17.5703125" customWidth="1"/>
    <col min="1544" max="1544" width="14.5703125" customWidth="1"/>
    <col min="1793" max="1793" width="41.5703125" customWidth="1"/>
    <col min="1794" max="1794" width="20.5703125" customWidth="1"/>
    <col min="1795" max="1795" width="9.28515625" customWidth="1"/>
    <col min="1797" max="1797" width="17.140625" customWidth="1"/>
    <col min="1798" max="1798" width="17" customWidth="1"/>
    <col min="1799" max="1799" width="17.5703125" customWidth="1"/>
    <col min="1800" max="1800" width="14.5703125" customWidth="1"/>
    <col min="2049" max="2049" width="41.5703125" customWidth="1"/>
    <col min="2050" max="2050" width="20.5703125" customWidth="1"/>
    <col min="2051" max="2051" width="9.28515625" customWidth="1"/>
    <col min="2053" max="2053" width="17.140625" customWidth="1"/>
    <col min="2054" max="2054" width="17" customWidth="1"/>
    <col min="2055" max="2055" width="17.5703125" customWidth="1"/>
    <col min="2056" max="2056" width="14.5703125" customWidth="1"/>
    <col min="2305" max="2305" width="41.5703125" customWidth="1"/>
    <col min="2306" max="2306" width="20.5703125" customWidth="1"/>
    <col min="2307" max="2307" width="9.28515625" customWidth="1"/>
    <col min="2309" max="2309" width="17.140625" customWidth="1"/>
    <col min="2310" max="2310" width="17" customWidth="1"/>
    <col min="2311" max="2311" width="17.5703125" customWidth="1"/>
    <col min="2312" max="2312" width="14.5703125" customWidth="1"/>
    <col min="2561" max="2561" width="41.5703125" customWidth="1"/>
    <col min="2562" max="2562" width="20.5703125" customWidth="1"/>
    <col min="2563" max="2563" width="9.28515625" customWidth="1"/>
    <col min="2565" max="2565" width="17.140625" customWidth="1"/>
    <col min="2566" max="2566" width="17" customWidth="1"/>
    <col min="2567" max="2567" width="17.5703125" customWidth="1"/>
    <col min="2568" max="2568" width="14.5703125" customWidth="1"/>
    <col min="2817" max="2817" width="41.5703125" customWidth="1"/>
    <col min="2818" max="2818" width="20.5703125" customWidth="1"/>
    <col min="2819" max="2819" width="9.28515625" customWidth="1"/>
    <col min="2821" max="2821" width="17.140625" customWidth="1"/>
    <col min="2822" max="2822" width="17" customWidth="1"/>
    <col min="2823" max="2823" width="17.5703125" customWidth="1"/>
    <col min="2824" max="2824" width="14.5703125" customWidth="1"/>
    <col min="3073" max="3073" width="41.5703125" customWidth="1"/>
    <col min="3074" max="3074" width="20.5703125" customWidth="1"/>
    <col min="3075" max="3075" width="9.28515625" customWidth="1"/>
    <col min="3077" max="3077" width="17.140625" customWidth="1"/>
    <col min="3078" max="3078" width="17" customWidth="1"/>
    <col min="3079" max="3079" width="17.5703125" customWidth="1"/>
    <col min="3080" max="3080" width="14.5703125" customWidth="1"/>
    <col min="3329" max="3329" width="41.5703125" customWidth="1"/>
    <col min="3330" max="3330" width="20.5703125" customWidth="1"/>
    <col min="3331" max="3331" width="9.28515625" customWidth="1"/>
    <col min="3333" max="3333" width="17.140625" customWidth="1"/>
    <col min="3334" max="3334" width="17" customWidth="1"/>
    <col min="3335" max="3335" width="17.5703125" customWidth="1"/>
    <col min="3336" max="3336" width="14.5703125" customWidth="1"/>
    <col min="3585" max="3585" width="41.5703125" customWidth="1"/>
    <col min="3586" max="3586" width="20.5703125" customWidth="1"/>
    <col min="3587" max="3587" width="9.28515625" customWidth="1"/>
    <col min="3589" max="3589" width="17.140625" customWidth="1"/>
    <col min="3590" max="3590" width="17" customWidth="1"/>
    <col min="3591" max="3591" width="17.5703125" customWidth="1"/>
    <col min="3592" max="3592" width="14.5703125" customWidth="1"/>
    <col min="3841" max="3841" width="41.5703125" customWidth="1"/>
    <col min="3842" max="3842" width="20.5703125" customWidth="1"/>
    <col min="3843" max="3843" width="9.28515625" customWidth="1"/>
    <col min="3845" max="3845" width="17.140625" customWidth="1"/>
    <col min="3846" max="3846" width="17" customWidth="1"/>
    <col min="3847" max="3847" width="17.5703125" customWidth="1"/>
    <col min="3848" max="3848" width="14.5703125" customWidth="1"/>
    <col min="4097" max="4097" width="41.5703125" customWidth="1"/>
    <col min="4098" max="4098" width="20.5703125" customWidth="1"/>
    <col min="4099" max="4099" width="9.28515625" customWidth="1"/>
    <col min="4101" max="4101" width="17.140625" customWidth="1"/>
    <col min="4102" max="4102" width="17" customWidth="1"/>
    <col min="4103" max="4103" width="17.5703125" customWidth="1"/>
    <col min="4104" max="4104" width="14.5703125" customWidth="1"/>
    <col min="4353" max="4353" width="41.5703125" customWidth="1"/>
    <col min="4354" max="4354" width="20.5703125" customWidth="1"/>
    <col min="4355" max="4355" width="9.28515625" customWidth="1"/>
    <col min="4357" max="4357" width="17.140625" customWidth="1"/>
    <col min="4358" max="4358" width="17" customWidth="1"/>
    <col min="4359" max="4359" width="17.5703125" customWidth="1"/>
    <col min="4360" max="4360" width="14.5703125" customWidth="1"/>
    <col min="4609" max="4609" width="41.5703125" customWidth="1"/>
    <col min="4610" max="4610" width="20.5703125" customWidth="1"/>
    <col min="4611" max="4611" width="9.28515625" customWidth="1"/>
    <col min="4613" max="4613" width="17.140625" customWidth="1"/>
    <col min="4614" max="4614" width="17" customWidth="1"/>
    <col min="4615" max="4615" width="17.5703125" customWidth="1"/>
    <col min="4616" max="4616" width="14.5703125" customWidth="1"/>
    <col min="4865" max="4865" width="41.5703125" customWidth="1"/>
    <col min="4866" max="4866" width="20.5703125" customWidth="1"/>
    <col min="4867" max="4867" width="9.28515625" customWidth="1"/>
    <col min="4869" max="4869" width="17.140625" customWidth="1"/>
    <col min="4870" max="4870" width="17" customWidth="1"/>
    <col min="4871" max="4871" width="17.5703125" customWidth="1"/>
    <col min="4872" max="4872" width="14.5703125" customWidth="1"/>
    <col min="5121" max="5121" width="41.5703125" customWidth="1"/>
    <col min="5122" max="5122" width="20.5703125" customWidth="1"/>
    <col min="5123" max="5123" width="9.28515625" customWidth="1"/>
    <col min="5125" max="5125" width="17.140625" customWidth="1"/>
    <col min="5126" max="5126" width="17" customWidth="1"/>
    <col min="5127" max="5127" width="17.5703125" customWidth="1"/>
    <col min="5128" max="5128" width="14.5703125" customWidth="1"/>
    <col min="5377" max="5377" width="41.5703125" customWidth="1"/>
    <col min="5378" max="5378" width="20.5703125" customWidth="1"/>
    <col min="5379" max="5379" width="9.28515625" customWidth="1"/>
    <col min="5381" max="5381" width="17.140625" customWidth="1"/>
    <col min="5382" max="5382" width="17" customWidth="1"/>
    <col min="5383" max="5383" width="17.5703125" customWidth="1"/>
    <col min="5384" max="5384" width="14.5703125" customWidth="1"/>
    <col min="5633" max="5633" width="41.5703125" customWidth="1"/>
    <col min="5634" max="5634" width="20.5703125" customWidth="1"/>
    <col min="5635" max="5635" width="9.28515625" customWidth="1"/>
    <col min="5637" max="5637" width="17.140625" customWidth="1"/>
    <col min="5638" max="5638" width="17" customWidth="1"/>
    <col min="5639" max="5639" width="17.5703125" customWidth="1"/>
    <col min="5640" max="5640" width="14.5703125" customWidth="1"/>
    <col min="5889" max="5889" width="41.5703125" customWidth="1"/>
    <col min="5890" max="5890" width="20.5703125" customWidth="1"/>
    <col min="5891" max="5891" width="9.28515625" customWidth="1"/>
    <col min="5893" max="5893" width="17.140625" customWidth="1"/>
    <col min="5894" max="5894" width="17" customWidth="1"/>
    <col min="5895" max="5895" width="17.5703125" customWidth="1"/>
    <col min="5896" max="5896" width="14.5703125" customWidth="1"/>
    <col min="6145" max="6145" width="41.5703125" customWidth="1"/>
    <col min="6146" max="6146" width="20.5703125" customWidth="1"/>
    <col min="6147" max="6147" width="9.28515625" customWidth="1"/>
    <col min="6149" max="6149" width="17.140625" customWidth="1"/>
    <col min="6150" max="6150" width="17" customWidth="1"/>
    <col min="6151" max="6151" width="17.5703125" customWidth="1"/>
    <col min="6152" max="6152" width="14.5703125" customWidth="1"/>
    <col min="6401" max="6401" width="41.5703125" customWidth="1"/>
    <col min="6402" max="6402" width="20.5703125" customWidth="1"/>
    <col min="6403" max="6403" width="9.28515625" customWidth="1"/>
    <col min="6405" max="6405" width="17.140625" customWidth="1"/>
    <col min="6406" max="6406" width="17" customWidth="1"/>
    <col min="6407" max="6407" width="17.5703125" customWidth="1"/>
    <col min="6408" max="6408" width="14.5703125" customWidth="1"/>
    <col min="6657" max="6657" width="41.5703125" customWidth="1"/>
    <col min="6658" max="6658" width="20.5703125" customWidth="1"/>
    <col min="6659" max="6659" width="9.28515625" customWidth="1"/>
    <col min="6661" max="6661" width="17.140625" customWidth="1"/>
    <col min="6662" max="6662" width="17" customWidth="1"/>
    <col min="6663" max="6663" width="17.5703125" customWidth="1"/>
    <col min="6664" max="6664" width="14.5703125" customWidth="1"/>
    <col min="6913" max="6913" width="41.5703125" customWidth="1"/>
    <col min="6914" max="6914" width="20.5703125" customWidth="1"/>
    <col min="6915" max="6915" width="9.28515625" customWidth="1"/>
    <col min="6917" max="6917" width="17.140625" customWidth="1"/>
    <col min="6918" max="6918" width="17" customWidth="1"/>
    <col min="6919" max="6919" width="17.5703125" customWidth="1"/>
    <col min="6920" max="6920" width="14.5703125" customWidth="1"/>
    <col min="7169" max="7169" width="41.5703125" customWidth="1"/>
    <col min="7170" max="7170" width="20.5703125" customWidth="1"/>
    <col min="7171" max="7171" width="9.28515625" customWidth="1"/>
    <col min="7173" max="7173" width="17.140625" customWidth="1"/>
    <col min="7174" max="7174" width="17" customWidth="1"/>
    <col min="7175" max="7175" width="17.5703125" customWidth="1"/>
    <col min="7176" max="7176" width="14.5703125" customWidth="1"/>
    <col min="7425" max="7425" width="41.5703125" customWidth="1"/>
    <col min="7426" max="7426" width="20.5703125" customWidth="1"/>
    <col min="7427" max="7427" width="9.28515625" customWidth="1"/>
    <col min="7429" max="7429" width="17.140625" customWidth="1"/>
    <col min="7430" max="7430" width="17" customWidth="1"/>
    <col min="7431" max="7431" width="17.5703125" customWidth="1"/>
    <col min="7432" max="7432" width="14.5703125" customWidth="1"/>
    <col min="7681" max="7681" width="41.5703125" customWidth="1"/>
    <col min="7682" max="7682" width="20.5703125" customWidth="1"/>
    <col min="7683" max="7683" width="9.28515625" customWidth="1"/>
    <col min="7685" max="7685" width="17.140625" customWidth="1"/>
    <col min="7686" max="7686" width="17" customWidth="1"/>
    <col min="7687" max="7687" width="17.5703125" customWidth="1"/>
    <col min="7688" max="7688" width="14.5703125" customWidth="1"/>
    <col min="7937" max="7937" width="41.5703125" customWidth="1"/>
    <col min="7938" max="7938" width="20.5703125" customWidth="1"/>
    <col min="7939" max="7939" width="9.28515625" customWidth="1"/>
    <col min="7941" max="7941" width="17.140625" customWidth="1"/>
    <col min="7942" max="7942" width="17" customWidth="1"/>
    <col min="7943" max="7943" width="17.5703125" customWidth="1"/>
    <col min="7944" max="7944" width="14.5703125" customWidth="1"/>
    <col min="8193" max="8193" width="41.5703125" customWidth="1"/>
    <col min="8194" max="8194" width="20.5703125" customWidth="1"/>
    <col min="8195" max="8195" width="9.28515625" customWidth="1"/>
    <col min="8197" max="8197" width="17.140625" customWidth="1"/>
    <col min="8198" max="8198" width="17" customWidth="1"/>
    <col min="8199" max="8199" width="17.5703125" customWidth="1"/>
    <col min="8200" max="8200" width="14.5703125" customWidth="1"/>
    <col min="8449" max="8449" width="41.5703125" customWidth="1"/>
    <col min="8450" max="8450" width="20.5703125" customWidth="1"/>
    <col min="8451" max="8451" width="9.28515625" customWidth="1"/>
    <col min="8453" max="8453" width="17.140625" customWidth="1"/>
    <col min="8454" max="8454" width="17" customWidth="1"/>
    <col min="8455" max="8455" width="17.5703125" customWidth="1"/>
    <col min="8456" max="8456" width="14.5703125" customWidth="1"/>
    <col min="8705" max="8705" width="41.5703125" customWidth="1"/>
    <col min="8706" max="8706" width="20.5703125" customWidth="1"/>
    <col min="8707" max="8707" width="9.28515625" customWidth="1"/>
    <col min="8709" max="8709" width="17.140625" customWidth="1"/>
    <col min="8710" max="8710" width="17" customWidth="1"/>
    <col min="8711" max="8711" width="17.5703125" customWidth="1"/>
    <col min="8712" max="8712" width="14.5703125" customWidth="1"/>
    <col min="8961" max="8961" width="41.5703125" customWidth="1"/>
    <col min="8962" max="8962" width="20.5703125" customWidth="1"/>
    <col min="8963" max="8963" width="9.28515625" customWidth="1"/>
    <col min="8965" max="8965" width="17.140625" customWidth="1"/>
    <col min="8966" max="8966" width="17" customWidth="1"/>
    <col min="8967" max="8967" width="17.5703125" customWidth="1"/>
    <col min="8968" max="8968" width="14.5703125" customWidth="1"/>
    <col min="9217" max="9217" width="41.5703125" customWidth="1"/>
    <col min="9218" max="9218" width="20.5703125" customWidth="1"/>
    <col min="9219" max="9219" width="9.28515625" customWidth="1"/>
    <col min="9221" max="9221" width="17.140625" customWidth="1"/>
    <col min="9222" max="9222" width="17" customWidth="1"/>
    <col min="9223" max="9223" width="17.5703125" customWidth="1"/>
    <col min="9224" max="9224" width="14.5703125" customWidth="1"/>
    <col min="9473" max="9473" width="41.5703125" customWidth="1"/>
    <col min="9474" max="9474" width="20.5703125" customWidth="1"/>
    <col min="9475" max="9475" width="9.28515625" customWidth="1"/>
    <col min="9477" max="9477" width="17.140625" customWidth="1"/>
    <col min="9478" max="9478" width="17" customWidth="1"/>
    <col min="9479" max="9479" width="17.5703125" customWidth="1"/>
    <col min="9480" max="9480" width="14.5703125" customWidth="1"/>
    <col min="9729" max="9729" width="41.5703125" customWidth="1"/>
    <col min="9730" max="9730" width="20.5703125" customWidth="1"/>
    <col min="9731" max="9731" width="9.28515625" customWidth="1"/>
    <col min="9733" max="9733" width="17.140625" customWidth="1"/>
    <col min="9734" max="9734" width="17" customWidth="1"/>
    <col min="9735" max="9735" width="17.5703125" customWidth="1"/>
    <col min="9736" max="9736" width="14.5703125" customWidth="1"/>
    <col min="9985" max="9985" width="41.5703125" customWidth="1"/>
    <col min="9986" max="9986" width="20.5703125" customWidth="1"/>
    <col min="9987" max="9987" width="9.28515625" customWidth="1"/>
    <col min="9989" max="9989" width="17.140625" customWidth="1"/>
    <col min="9990" max="9990" width="17" customWidth="1"/>
    <col min="9991" max="9991" width="17.5703125" customWidth="1"/>
    <col min="9992" max="9992" width="14.5703125" customWidth="1"/>
    <col min="10241" max="10241" width="41.5703125" customWidth="1"/>
    <col min="10242" max="10242" width="20.5703125" customWidth="1"/>
    <col min="10243" max="10243" width="9.28515625" customWidth="1"/>
    <col min="10245" max="10245" width="17.140625" customWidth="1"/>
    <col min="10246" max="10246" width="17" customWidth="1"/>
    <col min="10247" max="10247" width="17.5703125" customWidth="1"/>
    <col min="10248" max="10248" width="14.5703125" customWidth="1"/>
    <col min="10497" max="10497" width="41.5703125" customWidth="1"/>
    <col min="10498" max="10498" width="20.5703125" customWidth="1"/>
    <col min="10499" max="10499" width="9.28515625" customWidth="1"/>
    <col min="10501" max="10501" width="17.140625" customWidth="1"/>
    <col min="10502" max="10502" width="17" customWidth="1"/>
    <col min="10503" max="10503" width="17.5703125" customWidth="1"/>
    <col min="10504" max="10504" width="14.5703125" customWidth="1"/>
    <col min="10753" max="10753" width="41.5703125" customWidth="1"/>
    <col min="10754" max="10754" width="20.5703125" customWidth="1"/>
    <col min="10755" max="10755" width="9.28515625" customWidth="1"/>
    <col min="10757" max="10757" width="17.140625" customWidth="1"/>
    <col min="10758" max="10758" width="17" customWidth="1"/>
    <col min="10759" max="10759" width="17.5703125" customWidth="1"/>
    <col min="10760" max="10760" width="14.5703125" customWidth="1"/>
    <col min="11009" max="11009" width="41.5703125" customWidth="1"/>
    <col min="11010" max="11010" width="20.5703125" customWidth="1"/>
    <col min="11011" max="11011" width="9.28515625" customWidth="1"/>
    <col min="11013" max="11013" width="17.140625" customWidth="1"/>
    <col min="11014" max="11014" width="17" customWidth="1"/>
    <col min="11015" max="11015" width="17.5703125" customWidth="1"/>
    <col min="11016" max="11016" width="14.5703125" customWidth="1"/>
    <col min="11265" max="11265" width="41.5703125" customWidth="1"/>
    <col min="11266" max="11266" width="20.5703125" customWidth="1"/>
    <col min="11267" max="11267" width="9.28515625" customWidth="1"/>
    <col min="11269" max="11269" width="17.140625" customWidth="1"/>
    <col min="11270" max="11270" width="17" customWidth="1"/>
    <col min="11271" max="11271" width="17.5703125" customWidth="1"/>
    <col min="11272" max="11272" width="14.5703125" customWidth="1"/>
    <col min="11521" max="11521" width="41.5703125" customWidth="1"/>
    <col min="11522" max="11522" width="20.5703125" customWidth="1"/>
    <col min="11523" max="11523" width="9.28515625" customWidth="1"/>
    <col min="11525" max="11525" width="17.140625" customWidth="1"/>
    <col min="11526" max="11526" width="17" customWidth="1"/>
    <col min="11527" max="11527" width="17.5703125" customWidth="1"/>
    <col min="11528" max="11528" width="14.5703125" customWidth="1"/>
    <col min="11777" max="11777" width="41.5703125" customWidth="1"/>
    <col min="11778" max="11778" width="20.5703125" customWidth="1"/>
    <col min="11779" max="11779" width="9.28515625" customWidth="1"/>
    <col min="11781" max="11781" width="17.140625" customWidth="1"/>
    <col min="11782" max="11782" width="17" customWidth="1"/>
    <col min="11783" max="11783" width="17.5703125" customWidth="1"/>
    <col min="11784" max="11784" width="14.5703125" customWidth="1"/>
    <col min="12033" max="12033" width="41.5703125" customWidth="1"/>
    <col min="12034" max="12034" width="20.5703125" customWidth="1"/>
    <col min="12035" max="12035" width="9.28515625" customWidth="1"/>
    <col min="12037" max="12037" width="17.140625" customWidth="1"/>
    <col min="12038" max="12038" width="17" customWidth="1"/>
    <col min="12039" max="12039" width="17.5703125" customWidth="1"/>
    <col min="12040" max="12040" width="14.5703125" customWidth="1"/>
    <col min="12289" max="12289" width="41.5703125" customWidth="1"/>
    <col min="12290" max="12290" width="20.5703125" customWidth="1"/>
    <col min="12291" max="12291" width="9.28515625" customWidth="1"/>
    <col min="12293" max="12293" width="17.140625" customWidth="1"/>
    <col min="12294" max="12294" width="17" customWidth="1"/>
    <col min="12295" max="12295" width="17.5703125" customWidth="1"/>
    <col min="12296" max="12296" width="14.5703125" customWidth="1"/>
    <col min="12545" max="12545" width="41.5703125" customWidth="1"/>
    <col min="12546" max="12546" width="20.5703125" customWidth="1"/>
    <col min="12547" max="12547" width="9.28515625" customWidth="1"/>
    <col min="12549" max="12549" width="17.140625" customWidth="1"/>
    <col min="12550" max="12550" width="17" customWidth="1"/>
    <col min="12551" max="12551" width="17.5703125" customWidth="1"/>
    <col min="12552" max="12552" width="14.5703125" customWidth="1"/>
    <col min="12801" max="12801" width="41.5703125" customWidth="1"/>
    <col min="12802" max="12802" width="20.5703125" customWidth="1"/>
    <col min="12803" max="12803" width="9.28515625" customWidth="1"/>
    <col min="12805" max="12805" width="17.140625" customWidth="1"/>
    <col min="12806" max="12806" width="17" customWidth="1"/>
    <col min="12807" max="12807" width="17.5703125" customWidth="1"/>
    <col min="12808" max="12808" width="14.5703125" customWidth="1"/>
    <col min="13057" max="13057" width="41.5703125" customWidth="1"/>
    <col min="13058" max="13058" width="20.5703125" customWidth="1"/>
    <col min="13059" max="13059" width="9.28515625" customWidth="1"/>
    <col min="13061" max="13061" width="17.140625" customWidth="1"/>
    <col min="13062" max="13062" width="17" customWidth="1"/>
    <col min="13063" max="13063" width="17.5703125" customWidth="1"/>
    <col min="13064" max="13064" width="14.5703125" customWidth="1"/>
    <col min="13313" max="13313" width="41.5703125" customWidth="1"/>
    <col min="13314" max="13314" width="20.5703125" customWidth="1"/>
    <col min="13315" max="13315" width="9.28515625" customWidth="1"/>
    <col min="13317" max="13317" width="17.140625" customWidth="1"/>
    <col min="13318" max="13318" width="17" customWidth="1"/>
    <col min="13319" max="13319" width="17.5703125" customWidth="1"/>
    <col min="13320" max="13320" width="14.5703125" customWidth="1"/>
    <col min="13569" max="13569" width="41.5703125" customWidth="1"/>
    <col min="13570" max="13570" width="20.5703125" customWidth="1"/>
    <col min="13571" max="13571" width="9.28515625" customWidth="1"/>
    <col min="13573" max="13573" width="17.140625" customWidth="1"/>
    <col min="13574" max="13574" width="17" customWidth="1"/>
    <col min="13575" max="13575" width="17.5703125" customWidth="1"/>
    <col min="13576" max="13576" width="14.5703125" customWidth="1"/>
    <col min="13825" max="13825" width="41.5703125" customWidth="1"/>
    <col min="13826" max="13826" width="20.5703125" customWidth="1"/>
    <col min="13827" max="13827" width="9.28515625" customWidth="1"/>
    <col min="13829" max="13829" width="17.140625" customWidth="1"/>
    <col min="13830" max="13830" width="17" customWidth="1"/>
    <col min="13831" max="13831" width="17.5703125" customWidth="1"/>
    <col min="13832" max="13832" width="14.5703125" customWidth="1"/>
    <col min="14081" max="14081" width="41.5703125" customWidth="1"/>
    <col min="14082" max="14082" width="20.5703125" customWidth="1"/>
    <col min="14083" max="14083" width="9.28515625" customWidth="1"/>
    <col min="14085" max="14085" width="17.140625" customWidth="1"/>
    <col min="14086" max="14086" width="17" customWidth="1"/>
    <col min="14087" max="14087" width="17.5703125" customWidth="1"/>
    <col min="14088" max="14088" width="14.5703125" customWidth="1"/>
    <col min="14337" max="14337" width="41.5703125" customWidth="1"/>
    <col min="14338" max="14338" width="20.5703125" customWidth="1"/>
    <col min="14339" max="14339" width="9.28515625" customWidth="1"/>
    <col min="14341" max="14341" width="17.140625" customWidth="1"/>
    <col min="14342" max="14342" width="17" customWidth="1"/>
    <col min="14343" max="14343" width="17.5703125" customWidth="1"/>
    <col min="14344" max="14344" width="14.5703125" customWidth="1"/>
    <col min="14593" max="14593" width="41.5703125" customWidth="1"/>
    <col min="14594" max="14594" width="20.5703125" customWidth="1"/>
    <col min="14595" max="14595" width="9.28515625" customWidth="1"/>
    <col min="14597" max="14597" width="17.140625" customWidth="1"/>
    <col min="14598" max="14598" width="17" customWidth="1"/>
    <col min="14599" max="14599" width="17.5703125" customWidth="1"/>
    <col min="14600" max="14600" width="14.5703125" customWidth="1"/>
    <col min="14849" max="14849" width="41.5703125" customWidth="1"/>
    <col min="14850" max="14850" width="20.5703125" customWidth="1"/>
    <col min="14851" max="14851" width="9.28515625" customWidth="1"/>
    <col min="14853" max="14853" width="17.140625" customWidth="1"/>
    <col min="14854" max="14854" width="17" customWidth="1"/>
    <col min="14855" max="14855" width="17.5703125" customWidth="1"/>
    <col min="14856" max="14856" width="14.5703125" customWidth="1"/>
    <col min="15105" max="15105" width="41.5703125" customWidth="1"/>
    <col min="15106" max="15106" width="20.5703125" customWidth="1"/>
    <col min="15107" max="15107" width="9.28515625" customWidth="1"/>
    <col min="15109" max="15109" width="17.140625" customWidth="1"/>
    <col min="15110" max="15110" width="17" customWidth="1"/>
    <col min="15111" max="15111" width="17.5703125" customWidth="1"/>
    <col min="15112" max="15112" width="14.5703125" customWidth="1"/>
    <col min="15361" max="15361" width="41.5703125" customWidth="1"/>
    <col min="15362" max="15362" width="20.5703125" customWidth="1"/>
    <col min="15363" max="15363" width="9.28515625" customWidth="1"/>
    <col min="15365" max="15365" width="17.140625" customWidth="1"/>
    <col min="15366" max="15366" width="17" customWidth="1"/>
    <col min="15367" max="15367" width="17.5703125" customWidth="1"/>
    <col min="15368" max="15368" width="14.5703125" customWidth="1"/>
    <col min="15617" max="15617" width="41.5703125" customWidth="1"/>
    <col min="15618" max="15618" width="20.5703125" customWidth="1"/>
    <col min="15619" max="15619" width="9.28515625" customWidth="1"/>
    <col min="15621" max="15621" width="17.140625" customWidth="1"/>
    <col min="15622" max="15622" width="17" customWidth="1"/>
    <col min="15623" max="15623" width="17.5703125" customWidth="1"/>
    <col min="15624" max="15624" width="14.5703125" customWidth="1"/>
    <col min="15873" max="15873" width="41.5703125" customWidth="1"/>
    <col min="15874" max="15874" width="20.5703125" customWidth="1"/>
    <col min="15875" max="15875" width="9.28515625" customWidth="1"/>
    <col min="15877" max="15877" width="17.140625" customWidth="1"/>
    <col min="15878" max="15878" width="17" customWidth="1"/>
    <col min="15879" max="15879" width="17.5703125" customWidth="1"/>
    <col min="15880" max="15880" width="14.5703125" customWidth="1"/>
    <col min="16129" max="16129" width="41.5703125" customWidth="1"/>
    <col min="16130" max="16130" width="20.5703125" customWidth="1"/>
    <col min="16131" max="16131" width="9.28515625" customWidth="1"/>
    <col min="16133" max="16133" width="17.140625" customWidth="1"/>
    <col min="16134" max="16134" width="17" customWidth="1"/>
    <col min="16135" max="16135" width="17.5703125" customWidth="1"/>
    <col min="16136" max="16136" width="14.5703125" customWidth="1"/>
  </cols>
  <sheetData>
    <row r="1" spans="1:10" ht="18" x14ac:dyDescent="0.25">
      <c r="A1" s="20" t="s">
        <v>75</v>
      </c>
      <c r="B1" s="21" t="s">
        <v>76</v>
      </c>
      <c r="C1" s="22" t="s">
        <v>77</v>
      </c>
      <c r="D1" s="23" t="s">
        <v>78</v>
      </c>
      <c r="E1" s="23" t="s">
        <v>79</v>
      </c>
      <c r="F1" s="24" t="s">
        <v>80</v>
      </c>
      <c r="G1" s="23" t="s">
        <v>81</v>
      </c>
      <c r="J1" t="s">
        <v>162</v>
      </c>
    </row>
    <row r="2" spans="1:10" ht="18" x14ac:dyDescent="0.25">
      <c r="A2" s="25" t="s">
        <v>82</v>
      </c>
      <c r="B2" s="26"/>
      <c r="C2" s="26"/>
      <c r="D2" s="27"/>
      <c r="E2" s="27"/>
      <c r="F2" s="28">
        <v>0.24</v>
      </c>
      <c r="G2" s="29" t="s">
        <v>83</v>
      </c>
      <c r="H2" s="30"/>
      <c r="I2" s="30"/>
      <c r="J2" s="30"/>
    </row>
    <row r="3" spans="1:10" x14ac:dyDescent="0.25">
      <c r="A3" s="6" t="s">
        <v>84</v>
      </c>
      <c r="B3" s="55" t="s">
        <v>203</v>
      </c>
      <c r="C3">
        <v>175</v>
      </c>
      <c r="D3" s="8">
        <v>18</v>
      </c>
      <c r="E3" s="8">
        <f>+D3*C3</f>
        <v>3150</v>
      </c>
      <c r="F3" s="8">
        <f>+E3*F2</f>
        <v>756</v>
      </c>
      <c r="G3" s="8">
        <f>+E3+F3</f>
        <v>3906</v>
      </c>
      <c r="I3" s="11"/>
      <c r="J3">
        <v>150</v>
      </c>
    </row>
    <row r="4" spans="1:10" x14ac:dyDescent="0.25">
      <c r="A4" s="6" t="s">
        <v>85</v>
      </c>
      <c r="B4" s="55" t="s">
        <v>204</v>
      </c>
      <c r="C4">
        <v>190</v>
      </c>
      <c r="D4" s="8">
        <v>18</v>
      </c>
      <c r="E4" s="8">
        <f>+D4*C4</f>
        <v>3420</v>
      </c>
      <c r="F4" s="8">
        <f>+E4*F2</f>
        <v>820.8</v>
      </c>
      <c r="G4" s="8">
        <f>+E4+F4</f>
        <v>4240.8</v>
      </c>
      <c r="J4">
        <v>190</v>
      </c>
    </row>
    <row r="5" spans="1:10" x14ac:dyDescent="0.25">
      <c r="A5" s="6" t="s">
        <v>86</v>
      </c>
      <c r="B5" t="s">
        <v>205</v>
      </c>
      <c r="C5">
        <v>100</v>
      </c>
      <c r="D5" s="8">
        <v>18</v>
      </c>
      <c r="E5" s="8">
        <f>+D5*C5</f>
        <v>1800</v>
      </c>
      <c r="F5" s="8">
        <f>+E5*F2</f>
        <v>432</v>
      </c>
      <c r="G5" s="8">
        <f>+E5+F5</f>
        <v>2232</v>
      </c>
      <c r="H5" s="6"/>
      <c r="I5" s="6"/>
      <c r="J5">
        <v>100</v>
      </c>
    </row>
    <row r="6" spans="1:10" x14ac:dyDescent="0.25">
      <c r="A6" s="31" t="s">
        <v>87</v>
      </c>
      <c r="B6" t="s">
        <v>206</v>
      </c>
      <c r="C6">
        <v>25</v>
      </c>
      <c r="D6" s="8">
        <v>6</v>
      </c>
      <c r="E6" s="36">
        <f>+D6*C6</f>
        <v>150</v>
      </c>
      <c r="F6" s="36">
        <f>+E6*F2</f>
        <v>36</v>
      </c>
      <c r="G6" s="8">
        <f>+E6+F6</f>
        <v>186</v>
      </c>
      <c r="I6" s="11"/>
    </row>
    <row r="7" spans="1:10" ht="18" x14ac:dyDescent="0.25">
      <c r="A7" s="20" t="s">
        <v>88</v>
      </c>
      <c r="B7" s="32"/>
      <c r="C7" s="32"/>
      <c r="D7" s="33"/>
      <c r="E7" s="34">
        <f>SUM(E3:E6)</f>
        <v>8520</v>
      </c>
      <c r="F7" s="34">
        <f>SUM(F3:F6)</f>
        <v>2044.8</v>
      </c>
      <c r="G7" s="34">
        <f>SUM(G3:G6)</f>
        <v>10564.8</v>
      </c>
    </row>
    <row r="8" spans="1:10" x14ac:dyDescent="0.25">
      <c r="A8" s="6"/>
      <c r="D8" s="8"/>
      <c r="E8" s="15"/>
      <c r="F8" s="15"/>
    </row>
    <row r="9" spans="1:10" ht="18" x14ac:dyDescent="0.25">
      <c r="A9" s="25" t="s">
        <v>89</v>
      </c>
      <c r="D9" s="8"/>
      <c r="E9" s="15"/>
      <c r="F9" s="35"/>
      <c r="G9" s="35"/>
    </row>
    <row r="10" spans="1:10" x14ac:dyDescent="0.25">
      <c r="A10" s="6" t="s">
        <v>90</v>
      </c>
      <c r="B10" s="14" t="s">
        <v>202</v>
      </c>
      <c r="C10">
        <v>246</v>
      </c>
      <c r="D10" s="8">
        <v>20</v>
      </c>
      <c r="E10" s="36">
        <f>+C10*D10</f>
        <v>4920</v>
      </c>
      <c r="F10" s="8">
        <f>+E10*F2</f>
        <v>1180.8</v>
      </c>
      <c r="G10" s="8">
        <f>+E10+F10</f>
        <v>6100.8</v>
      </c>
      <c r="H10" s="5"/>
    </row>
    <row r="11" spans="1:10" x14ac:dyDescent="0.25">
      <c r="A11" s="6" t="s">
        <v>91</v>
      </c>
      <c r="D11" s="8"/>
      <c r="E11" s="15"/>
      <c r="F11" s="8"/>
    </row>
    <row r="12" spans="1:10" x14ac:dyDescent="0.25">
      <c r="A12" s="6"/>
      <c r="D12" s="8"/>
      <c r="E12" s="15"/>
      <c r="F12" s="8"/>
      <c r="H12" s="30"/>
    </row>
    <row r="13" spans="1:10" x14ac:dyDescent="0.25">
      <c r="A13" s="6" t="s">
        <v>92</v>
      </c>
      <c r="B13" s="14" t="s">
        <v>210</v>
      </c>
      <c r="C13">
        <v>233</v>
      </c>
      <c r="D13" s="8">
        <v>20</v>
      </c>
      <c r="E13" s="8">
        <f>+C13*D13</f>
        <v>4660</v>
      </c>
      <c r="F13" s="8">
        <f>+E13*F2</f>
        <v>1118.3999999999999</v>
      </c>
      <c r="G13" s="8">
        <f>+E13+F13</f>
        <v>5778.4</v>
      </c>
    </row>
    <row r="14" spans="1:10" x14ac:dyDescent="0.25">
      <c r="A14" s="6" t="s">
        <v>91</v>
      </c>
      <c r="B14" s="14"/>
      <c r="D14" s="8"/>
      <c r="E14" s="15"/>
      <c r="F14" s="8"/>
      <c r="I14" s="11">
        <f>+D10+D13*1.23</f>
        <v>44.6</v>
      </c>
    </row>
    <row r="15" spans="1:10" x14ac:dyDescent="0.25">
      <c r="A15" s="6"/>
      <c r="D15" s="8"/>
      <c r="E15" s="15"/>
      <c r="F15" s="15"/>
      <c r="G15" s="15"/>
      <c r="H15" s="30"/>
    </row>
    <row r="16" spans="1:10" ht="18" x14ac:dyDescent="0.25">
      <c r="A16" s="20" t="s">
        <v>93</v>
      </c>
      <c r="B16" s="32"/>
      <c r="C16" s="32"/>
      <c r="D16" s="33"/>
      <c r="E16" s="34">
        <f>SUM(E10:E14)</f>
        <v>9580</v>
      </c>
      <c r="F16" s="34">
        <f>SUM(F10:F14)</f>
        <v>2299.1999999999998</v>
      </c>
      <c r="G16" s="34">
        <f>SUM(G10:G14)</f>
        <v>11879.2</v>
      </c>
    </row>
    <row r="17" spans="1:8" ht="18" x14ac:dyDescent="0.25">
      <c r="A17" s="25"/>
      <c r="B17" s="37"/>
      <c r="C17" s="37"/>
      <c r="D17" s="38"/>
      <c r="E17" s="39"/>
      <c r="F17" s="39"/>
    </row>
    <row r="18" spans="1:8" ht="20.25" x14ac:dyDescent="0.3">
      <c r="A18" s="1" t="s">
        <v>94</v>
      </c>
      <c r="B18" s="31" t="s">
        <v>95</v>
      </c>
      <c r="D18" s="8"/>
      <c r="E18" s="8"/>
      <c r="F18" s="8"/>
    </row>
    <row r="19" spans="1:8" x14ac:dyDescent="0.25">
      <c r="A19" s="6" t="s">
        <v>96</v>
      </c>
      <c r="B19" t="s">
        <v>97</v>
      </c>
      <c r="C19">
        <v>5</v>
      </c>
      <c r="D19" s="8">
        <v>80</v>
      </c>
      <c r="E19" s="8">
        <f>+D19*C19</f>
        <v>400</v>
      </c>
      <c r="F19" s="8">
        <f>+E19*F2</f>
        <v>96</v>
      </c>
      <c r="G19" s="8">
        <f>+E19+F19</f>
        <v>496</v>
      </c>
      <c r="H19">
        <f>128/8</f>
        <v>16</v>
      </c>
    </row>
    <row r="20" spans="1:8" x14ac:dyDescent="0.25">
      <c r="A20" s="6"/>
      <c r="B20" t="s">
        <v>98</v>
      </c>
      <c r="C20">
        <v>2</v>
      </c>
      <c r="D20" s="8">
        <v>80</v>
      </c>
      <c r="E20" s="8">
        <f>+D20*C20</f>
        <v>160</v>
      </c>
      <c r="F20" s="8">
        <f>+E20*F2</f>
        <v>38.4</v>
      </c>
      <c r="G20" s="8">
        <f>+E20+F20</f>
        <v>198.4</v>
      </c>
    </row>
    <row r="21" spans="1:8" x14ac:dyDescent="0.25">
      <c r="A21" s="6"/>
      <c r="B21" t="s">
        <v>99</v>
      </c>
      <c r="C21">
        <v>1</v>
      </c>
      <c r="D21" s="92">
        <v>40</v>
      </c>
      <c r="E21" s="8">
        <f>+D21*C21</f>
        <v>40</v>
      </c>
      <c r="F21" s="8">
        <f>+E21*F2</f>
        <v>9.6</v>
      </c>
      <c r="G21" s="8">
        <f>+E21+F21</f>
        <v>49.6</v>
      </c>
    </row>
    <row r="22" spans="1:8" x14ac:dyDescent="0.25">
      <c r="A22" s="6" t="s">
        <v>91</v>
      </c>
      <c r="B22" s="30" t="s">
        <v>100</v>
      </c>
      <c r="D22" s="8"/>
      <c r="E22" s="15">
        <f>SUM(E19:E21)</f>
        <v>600</v>
      </c>
      <c r="F22" s="8">
        <f>SUM(F19:F21)</f>
        <v>144</v>
      </c>
      <c r="G22" s="15">
        <f>SUM(G19:G21)</f>
        <v>744</v>
      </c>
    </row>
    <row r="23" spans="1:8" x14ac:dyDescent="0.25">
      <c r="A23" s="6"/>
      <c r="D23" s="8"/>
      <c r="E23" s="36"/>
      <c r="F23" s="8">
        <f>+E23*0.2</f>
        <v>0</v>
      </c>
    </row>
    <row r="24" spans="1:8" x14ac:dyDescent="0.25">
      <c r="A24" s="6" t="s">
        <v>101</v>
      </c>
      <c r="B24" t="s">
        <v>102</v>
      </c>
      <c r="C24">
        <v>75</v>
      </c>
      <c r="D24" s="8">
        <v>5</v>
      </c>
      <c r="E24" s="36">
        <f>+D24*C24</f>
        <v>375</v>
      </c>
      <c r="F24" s="8">
        <f>+E24*F2</f>
        <v>90</v>
      </c>
      <c r="G24" s="8">
        <f>+E24+F24</f>
        <v>465</v>
      </c>
    </row>
    <row r="25" spans="1:8" x14ac:dyDescent="0.25">
      <c r="A25" s="6" t="s">
        <v>103</v>
      </c>
      <c r="B25" t="s">
        <v>104</v>
      </c>
      <c r="C25">
        <v>75</v>
      </c>
      <c r="D25" s="8">
        <v>4</v>
      </c>
      <c r="E25" s="36">
        <f>+C25*D25</f>
        <v>300</v>
      </c>
      <c r="F25" s="8">
        <f>+E25*F2</f>
        <v>72</v>
      </c>
      <c r="G25" s="8">
        <f>+E25+F25</f>
        <v>372</v>
      </c>
    </row>
    <row r="26" spans="1:8" x14ac:dyDescent="0.25">
      <c r="A26" s="6"/>
      <c r="D26" s="8"/>
      <c r="E26" s="15">
        <f>+E24+E25</f>
        <v>675</v>
      </c>
      <c r="F26" s="8">
        <f>SUM(F23:F25)</f>
        <v>162</v>
      </c>
      <c r="G26" s="15">
        <f>+G24+G25</f>
        <v>837</v>
      </c>
    </row>
    <row r="27" spans="1:8" x14ac:dyDescent="0.25">
      <c r="A27" s="6"/>
      <c r="D27" s="8"/>
      <c r="E27" s="15"/>
      <c r="F27" s="8">
        <f>+E27*0.2</f>
        <v>0</v>
      </c>
    </row>
    <row r="28" spans="1:8" x14ac:dyDescent="0.25">
      <c r="A28" s="6" t="s">
        <v>105</v>
      </c>
      <c r="B28" t="s">
        <v>106</v>
      </c>
      <c r="C28">
        <v>5</v>
      </c>
      <c r="D28" s="8">
        <v>80</v>
      </c>
      <c r="E28" s="8">
        <f>+D28*C28</f>
        <v>400</v>
      </c>
      <c r="F28" s="8">
        <f>+E28*F2</f>
        <v>96</v>
      </c>
      <c r="G28" s="8">
        <f>+E28+F28</f>
        <v>496</v>
      </c>
    </row>
    <row r="29" spans="1:8" x14ac:dyDescent="0.25">
      <c r="A29" s="6"/>
      <c r="B29" t="s">
        <v>98</v>
      </c>
      <c r="C29">
        <v>2</v>
      </c>
      <c r="D29" s="8">
        <v>80</v>
      </c>
      <c r="E29" s="8">
        <f>+D29*C29</f>
        <v>160</v>
      </c>
      <c r="F29" s="8">
        <f>+E29*F2</f>
        <v>38.4</v>
      </c>
      <c r="G29" s="8">
        <f>+E29+F29</f>
        <v>198.4</v>
      </c>
    </row>
    <row r="30" spans="1:8" x14ac:dyDescent="0.25">
      <c r="A30" s="6"/>
      <c r="B30" t="s">
        <v>107</v>
      </c>
      <c r="C30">
        <v>1</v>
      </c>
      <c r="D30" s="92">
        <v>40</v>
      </c>
      <c r="E30" s="8">
        <f>+D30*C30</f>
        <v>40</v>
      </c>
      <c r="F30" s="8">
        <f>+E30*F2</f>
        <v>9.6</v>
      </c>
      <c r="G30" s="8">
        <f>+E30+F30</f>
        <v>49.6</v>
      </c>
    </row>
    <row r="31" spans="1:8" x14ac:dyDescent="0.25">
      <c r="A31" s="6" t="s">
        <v>91</v>
      </c>
      <c r="D31" s="8"/>
      <c r="E31" s="15">
        <f>SUM(E28:E30)</f>
        <v>600</v>
      </c>
      <c r="F31" s="8">
        <f>SUM(F27:F30)</f>
        <v>144</v>
      </c>
      <c r="G31" s="15">
        <f>SUM(G28:G30)</f>
        <v>744</v>
      </c>
    </row>
    <row r="32" spans="1:8" x14ac:dyDescent="0.25">
      <c r="A32" s="6"/>
      <c r="D32" s="8"/>
      <c r="E32" s="15"/>
      <c r="F32" s="8">
        <f>+E32*0.2</f>
        <v>0</v>
      </c>
    </row>
    <row r="33" spans="1:9" x14ac:dyDescent="0.25">
      <c r="A33" s="6" t="s">
        <v>108</v>
      </c>
      <c r="B33" t="s">
        <v>102</v>
      </c>
      <c r="C33">
        <v>75</v>
      </c>
      <c r="D33" s="8">
        <v>5</v>
      </c>
      <c r="E33" s="36">
        <f>+D33*C33</f>
        <v>375</v>
      </c>
      <c r="F33" s="8">
        <f>+E33*F2</f>
        <v>90</v>
      </c>
      <c r="G33" s="8">
        <f>+E33+F33</f>
        <v>465</v>
      </c>
    </row>
    <row r="34" spans="1:9" x14ac:dyDescent="0.25">
      <c r="A34" s="6" t="s">
        <v>109</v>
      </c>
      <c r="B34" t="s">
        <v>104</v>
      </c>
      <c r="C34">
        <v>75</v>
      </c>
      <c r="D34" s="8">
        <v>4</v>
      </c>
      <c r="E34" s="36">
        <f>+C34*D34</f>
        <v>300</v>
      </c>
      <c r="F34" s="8">
        <f>+E34*F2</f>
        <v>72</v>
      </c>
      <c r="G34" s="8">
        <f>+E34+F34</f>
        <v>372</v>
      </c>
    </row>
    <row r="35" spans="1:9" x14ac:dyDescent="0.25">
      <c r="A35" s="6"/>
      <c r="D35" s="8"/>
      <c r="E35" s="15">
        <f>+E33+E34</f>
        <v>675</v>
      </c>
      <c r="F35" s="8">
        <f>SUM(F32:F34)</f>
        <v>162</v>
      </c>
      <c r="G35" s="15">
        <f>+G33+G34</f>
        <v>837</v>
      </c>
    </row>
    <row r="36" spans="1:9" x14ac:dyDescent="0.25">
      <c r="A36" s="6"/>
      <c r="D36" s="8"/>
      <c r="E36" s="36"/>
      <c r="F36" s="36"/>
    </row>
    <row r="37" spans="1:9" ht="18" x14ac:dyDescent="0.25">
      <c r="A37" s="20" t="s">
        <v>110</v>
      </c>
      <c r="B37" s="32"/>
      <c r="C37" s="32"/>
      <c r="D37" s="33"/>
      <c r="E37" s="34">
        <f>+E22+E26+E31+E35</f>
        <v>2550</v>
      </c>
      <c r="F37" s="34">
        <f>+F22+F26+F31+F35</f>
        <v>612</v>
      </c>
      <c r="G37" s="34">
        <f>+G22+G26+G31+G35</f>
        <v>3162</v>
      </c>
      <c r="I37">
        <f>+G37/175</f>
        <v>18.068571428571428</v>
      </c>
    </row>
    <row r="38" spans="1:9" x14ac:dyDescent="0.25">
      <c r="A38" s="6"/>
      <c r="D38" s="8"/>
      <c r="E38" s="15"/>
      <c r="F38" s="15"/>
    </row>
    <row r="39" spans="1:9" ht="18" x14ac:dyDescent="0.25">
      <c r="A39" s="25" t="s">
        <v>111</v>
      </c>
      <c r="D39" s="15" t="s">
        <v>112</v>
      </c>
      <c r="E39" s="15"/>
      <c r="F39" s="15"/>
    </row>
    <row r="40" spans="1:9" x14ac:dyDescent="0.25">
      <c r="A40" s="6" t="s">
        <v>113</v>
      </c>
      <c r="B40" s="14"/>
      <c r="D40" s="8"/>
      <c r="E40" s="8"/>
      <c r="F40" s="8"/>
    </row>
    <row r="41" spans="1:9" x14ac:dyDescent="0.25">
      <c r="A41" s="6"/>
      <c r="D41" s="8"/>
      <c r="E41" s="8"/>
      <c r="F41" s="8"/>
    </row>
    <row r="42" spans="1:9" ht="18" x14ac:dyDescent="0.25">
      <c r="A42" s="148" t="s">
        <v>177</v>
      </c>
      <c r="B42" s="148"/>
      <c r="C42" s="148"/>
      <c r="D42" s="148"/>
      <c r="E42" s="148"/>
      <c r="F42" s="8"/>
    </row>
    <row r="43" spans="1:9" x14ac:dyDescent="0.25">
      <c r="A43" s="6" t="s">
        <v>114</v>
      </c>
      <c r="D43" s="8"/>
      <c r="E43" s="8"/>
      <c r="F43" s="8"/>
    </row>
    <row r="44" spans="1:9" x14ac:dyDescent="0.25">
      <c r="A44" s="6"/>
      <c r="D44" s="8"/>
      <c r="E44" s="8"/>
      <c r="F44" s="8"/>
    </row>
    <row r="45" spans="1:9" x14ac:dyDescent="0.25">
      <c r="A45" s="6"/>
      <c r="D45" s="8"/>
      <c r="E45" s="8"/>
      <c r="F45" s="8"/>
    </row>
    <row r="46" spans="1:9" x14ac:dyDescent="0.25">
      <c r="A46" s="6"/>
      <c r="D46" s="8"/>
      <c r="E46" s="8"/>
      <c r="F46" s="8"/>
    </row>
    <row r="47" spans="1:9" ht="18" x14ac:dyDescent="0.25">
      <c r="A47" s="6" t="s">
        <v>115</v>
      </c>
      <c r="B47" s="40" t="s">
        <v>116</v>
      </c>
      <c r="C47" s="25"/>
      <c r="D47" s="39"/>
      <c r="E47" s="39">
        <f>SUM(E40:E46)</f>
        <v>0</v>
      </c>
      <c r="F47" s="15"/>
    </row>
    <row r="48" spans="1:9" x14ac:dyDescent="0.25">
      <c r="A48" s="6"/>
      <c r="D48" s="8"/>
      <c r="E48" s="15"/>
      <c r="F48" s="15"/>
    </row>
    <row r="49" spans="1:12" ht="18" x14ac:dyDescent="0.25">
      <c r="A49" s="20" t="s">
        <v>117</v>
      </c>
      <c r="B49" s="20"/>
      <c r="C49" s="20"/>
      <c r="D49" s="34"/>
      <c r="E49" s="34">
        <f>SUM(E47:E48)</f>
        <v>0</v>
      </c>
      <c r="F49" s="34"/>
      <c r="G49" s="34">
        <v>0</v>
      </c>
    </row>
    <row r="50" spans="1:12" ht="12.75" customHeight="1" x14ac:dyDescent="0.25">
      <c r="A50" s="25"/>
      <c r="B50" s="25"/>
      <c r="C50" s="25"/>
      <c r="D50" s="39"/>
      <c r="E50" s="39"/>
      <c r="F50" s="39"/>
      <c r="G50" s="27"/>
    </row>
    <row r="51" spans="1:12" x14ac:dyDescent="0.25">
      <c r="A51" s="6"/>
      <c r="D51" s="8"/>
      <c r="E51" s="15"/>
      <c r="F51" s="15"/>
    </row>
    <row r="52" spans="1:12" x14ac:dyDescent="0.25">
      <c r="B52" s="6" t="s">
        <v>118</v>
      </c>
      <c r="D52" s="8"/>
      <c r="E52" s="15"/>
      <c r="F52" s="15"/>
    </row>
    <row r="53" spans="1:12" x14ac:dyDescent="0.25">
      <c r="A53" s="6"/>
      <c r="B53" s="6"/>
      <c r="D53" s="8"/>
      <c r="E53" s="15"/>
      <c r="F53" s="15"/>
    </row>
    <row r="54" spans="1:12" ht="18" x14ac:dyDescent="0.25">
      <c r="A54" s="25" t="s">
        <v>119</v>
      </c>
      <c r="B54" s="37"/>
      <c r="C54" s="37"/>
      <c r="D54" s="38"/>
      <c r="E54" s="39">
        <f>+E7+E16+E37</f>
        <v>20650</v>
      </c>
      <c r="F54" s="39">
        <f>+F7+F16+F37</f>
        <v>4956</v>
      </c>
      <c r="G54" s="39">
        <f>+G7+G16+G37</f>
        <v>25606</v>
      </c>
    </row>
    <row r="55" spans="1:12" x14ac:dyDescent="0.25">
      <c r="A55" s="6"/>
      <c r="D55" s="8"/>
      <c r="E55" s="8"/>
      <c r="F55" s="8"/>
    </row>
    <row r="56" spans="1:12" x14ac:dyDescent="0.25">
      <c r="F56" s="11"/>
    </row>
    <row r="57" spans="1:12" ht="21.75" customHeight="1" x14ac:dyDescent="0.25">
      <c r="A57" s="25" t="s">
        <v>120</v>
      </c>
      <c r="B57" s="25"/>
      <c r="C57" s="25"/>
      <c r="D57" s="39"/>
      <c r="E57" s="39"/>
      <c r="F57" s="39"/>
      <c r="G57"/>
    </row>
    <row r="58" spans="1:12" ht="12.75" customHeight="1" x14ac:dyDescent="0.25">
      <c r="A58" s="6" t="s">
        <v>121</v>
      </c>
      <c r="C58" s="25"/>
      <c r="D58" t="s">
        <v>78</v>
      </c>
      <c r="E58" s="35" t="s">
        <v>79</v>
      </c>
      <c r="F58" s="35" t="s">
        <v>80</v>
      </c>
      <c r="G58" s="30" t="s">
        <v>81</v>
      </c>
      <c r="H58" s="30"/>
      <c r="I58" s="36" t="s">
        <v>163</v>
      </c>
      <c r="J58" s="14">
        <v>2500</v>
      </c>
      <c r="K58" s="14"/>
      <c r="L58" s="30"/>
    </row>
    <row r="59" spans="1:12" ht="12.75" customHeight="1" x14ac:dyDescent="0.25">
      <c r="A59" s="6"/>
      <c r="C59" s="25"/>
      <c r="D59" s="8"/>
      <c r="E59" s="35">
        <f>+D59</f>
        <v>0</v>
      </c>
      <c r="F59" s="35"/>
      <c r="G59" s="93">
        <f>+E59</f>
        <v>0</v>
      </c>
      <c r="H59" s="30"/>
      <c r="I59" s="36"/>
      <c r="J59" s="14"/>
      <c r="K59" s="14"/>
      <c r="L59" s="30"/>
    </row>
    <row r="60" spans="1:12" ht="12.75" customHeight="1" x14ac:dyDescent="0.25">
      <c r="A60" s="6"/>
      <c r="C60" s="25"/>
      <c r="D60" s="8"/>
      <c r="E60" s="35"/>
      <c r="F60" s="35"/>
      <c r="G60" s="93">
        <f>+E60</f>
        <v>0</v>
      </c>
      <c r="H60" s="30"/>
      <c r="I60" s="36"/>
      <c r="J60" s="14"/>
      <c r="K60" s="14"/>
      <c r="L60" s="30"/>
    </row>
    <row r="61" spans="1:12" x14ac:dyDescent="0.25">
      <c r="A61" s="6"/>
      <c r="B61" s="14"/>
      <c r="C61">
        <v>190</v>
      </c>
      <c r="D61" s="8">
        <v>45</v>
      </c>
      <c r="E61" s="15">
        <f>+C61*D61</f>
        <v>8550</v>
      </c>
      <c r="F61" s="36">
        <f>+E61*F2</f>
        <v>2052</v>
      </c>
      <c r="G61" s="13">
        <f>+E61+F61</f>
        <v>10602</v>
      </c>
      <c r="I61" s="49" t="s">
        <v>164</v>
      </c>
      <c r="J61" s="48">
        <v>6333.85</v>
      </c>
      <c r="K61" s="48"/>
    </row>
    <row r="62" spans="1:12" x14ac:dyDescent="0.25">
      <c r="A62" s="6"/>
      <c r="B62" s="14"/>
      <c r="D62" s="8"/>
      <c r="E62" s="15"/>
      <c r="F62" s="36"/>
      <c r="G62" s="11"/>
      <c r="I62" s="49"/>
      <c r="J62" s="48">
        <f>+J61-J58</f>
        <v>3833.8500000000004</v>
      </c>
      <c r="K62" s="48"/>
    </row>
    <row r="63" spans="1:12" x14ac:dyDescent="0.25">
      <c r="A63" s="6"/>
      <c r="B63" s="14" t="s">
        <v>122</v>
      </c>
      <c r="C63">
        <v>190</v>
      </c>
      <c r="D63" s="8">
        <v>7</v>
      </c>
      <c r="E63" s="8">
        <f>+D63*C63</f>
        <v>1330</v>
      </c>
      <c r="F63" s="15">
        <f>+E63*0.25</f>
        <v>332.5</v>
      </c>
      <c r="G63" s="8">
        <f>+E63+F63</f>
        <v>1662.5</v>
      </c>
      <c r="I63" s="49"/>
      <c r="J63" s="48">
        <f>+J62/C61</f>
        <v>20.178157894736845</v>
      </c>
      <c r="K63" s="48"/>
    </row>
    <row r="64" spans="1:12" x14ac:dyDescent="0.25">
      <c r="A64" s="6"/>
      <c r="B64" s="14" t="s">
        <v>123</v>
      </c>
      <c r="C64">
        <v>2</v>
      </c>
      <c r="D64" s="8">
        <v>395</v>
      </c>
      <c r="E64" s="8">
        <f>+D64*C64</f>
        <v>790</v>
      </c>
      <c r="F64" s="15">
        <f>+E64*0.25</f>
        <v>197.5</v>
      </c>
      <c r="G64" s="8">
        <f>+E64+F64</f>
        <v>987.5</v>
      </c>
      <c r="I64" s="48"/>
      <c r="J64" s="48"/>
      <c r="K64" s="48"/>
    </row>
    <row r="65" spans="1:10" ht="18" x14ac:dyDescent="0.25">
      <c r="A65" s="25" t="s">
        <v>124</v>
      </c>
      <c r="B65" s="37"/>
      <c r="C65" s="37"/>
      <c r="D65" s="38"/>
      <c r="E65" s="39">
        <f>+E61+E63</f>
        <v>9880</v>
      </c>
      <c r="F65" s="39">
        <f>+F61+F63</f>
        <v>2384.5</v>
      </c>
      <c r="G65" s="39">
        <f>SUM(G61:G64)</f>
        <v>13252</v>
      </c>
      <c r="H65">
        <f>+G65/C61</f>
        <v>69.747368421052627</v>
      </c>
      <c r="I65" s="11">
        <f>+D61+D63*1.23</f>
        <v>53.61</v>
      </c>
    </row>
    <row r="67" spans="1:10" s="25" customFormat="1" ht="18" x14ac:dyDescent="0.25">
      <c r="A67" s="25" t="s">
        <v>125</v>
      </c>
      <c r="E67" s="41">
        <f>+E54+E65</f>
        <v>30530</v>
      </c>
      <c r="F67" s="41">
        <f>+F54+F65</f>
        <v>7340.5</v>
      </c>
      <c r="G67" s="41">
        <f>+G54+G65</f>
        <v>38858</v>
      </c>
      <c r="I67" s="41">
        <f>+I6+I14+I65+I37</f>
        <v>116.27857142857144</v>
      </c>
      <c r="J67" s="25" t="s">
        <v>157</v>
      </c>
    </row>
    <row r="69" spans="1:10" x14ac:dyDescent="0.25">
      <c r="H69" s="11"/>
    </row>
    <row r="70" spans="1:10" x14ac:dyDescent="0.25">
      <c r="B70" s="6"/>
    </row>
    <row r="74" spans="1:10" x14ac:dyDescent="0.25">
      <c r="B74" s="6"/>
    </row>
  </sheetData>
  <mergeCells count="1">
    <mergeCell ref="A42:E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J49"/>
  <sheetViews>
    <sheetView topLeftCell="A19" workbookViewId="0">
      <selection activeCell="I39" sqref="I39"/>
    </sheetView>
  </sheetViews>
  <sheetFormatPr defaultRowHeight="15" x14ac:dyDescent="0.25"/>
  <cols>
    <col min="1" max="1" width="46.7109375" customWidth="1"/>
    <col min="2" max="2" width="41.42578125" customWidth="1"/>
    <col min="3" max="3" width="9.28515625" customWidth="1"/>
    <col min="5" max="5" width="16.85546875" customWidth="1"/>
    <col min="6" max="6" width="16.140625" customWidth="1"/>
    <col min="7" max="7" width="17.140625" customWidth="1"/>
    <col min="257" max="257" width="46.7109375" customWidth="1"/>
    <col min="258" max="258" width="31.42578125" customWidth="1"/>
    <col min="259" max="259" width="9.28515625" customWidth="1"/>
    <col min="261" max="261" width="16.85546875" customWidth="1"/>
    <col min="262" max="262" width="16.140625" customWidth="1"/>
    <col min="263" max="263" width="17.140625" customWidth="1"/>
    <col min="513" max="513" width="46.7109375" customWidth="1"/>
    <col min="514" max="514" width="31.42578125" customWidth="1"/>
    <col min="515" max="515" width="9.28515625" customWidth="1"/>
    <col min="517" max="517" width="16.85546875" customWidth="1"/>
    <col min="518" max="518" width="16.140625" customWidth="1"/>
    <col min="519" max="519" width="17.140625" customWidth="1"/>
    <col min="769" max="769" width="46.7109375" customWidth="1"/>
    <col min="770" max="770" width="31.42578125" customWidth="1"/>
    <col min="771" max="771" width="9.28515625" customWidth="1"/>
    <col min="773" max="773" width="16.85546875" customWidth="1"/>
    <col min="774" max="774" width="16.140625" customWidth="1"/>
    <col min="775" max="775" width="17.140625" customWidth="1"/>
    <col min="1025" max="1025" width="46.7109375" customWidth="1"/>
    <col min="1026" max="1026" width="31.42578125" customWidth="1"/>
    <col min="1027" max="1027" width="9.28515625" customWidth="1"/>
    <col min="1029" max="1029" width="16.85546875" customWidth="1"/>
    <col min="1030" max="1030" width="16.140625" customWidth="1"/>
    <col min="1031" max="1031" width="17.140625" customWidth="1"/>
    <col min="1281" max="1281" width="46.7109375" customWidth="1"/>
    <col min="1282" max="1282" width="31.42578125" customWidth="1"/>
    <col min="1283" max="1283" width="9.28515625" customWidth="1"/>
    <col min="1285" max="1285" width="16.85546875" customWidth="1"/>
    <col min="1286" max="1286" width="16.140625" customWidth="1"/>
    <col min="1287" max="1287" width="17.140625" customWidth="1"/>
    <col min="1537" max="1537" width="46.7109375" customWidth="1"/>
    <col min="1538" max="1538" width="31.42578125" customWidth="1"/>
    <col min="1539" max="1539" width="9.28515625" customWidth="1"/>
    <col min="1541" max="1541" width="16.85546875" customWidth="1"/>
    <col min="1542" max="1542" width="16.140625" customWidth="1"/>
    <col min="1543" max="1543" width="17.140625" customWidth="1"/>
    <col min="1793" max="1793" width="46.7109375" customWidth="1"/>
    <col min="1794" max="1794" width="31.42578125" customWidth="1"/>
    <col min="1795" max="1795" width="9.28515625" customWidth="1"/>
    <col min="1797" max="1797" width="16.85546875" customWidth="1"/>
    <col min="1798" max="1798" width="16.140625" customWidth="1"/>
    <col min="1799" max="1799" width="17.140625" customWidth="1"/>
    <col min="2049" max="2049" width="46.7109375" customWidth="1"/>
    <col min="2050" max="2050" width="31.42578125" customWidth="1"/>
    <col min="2051" max="2051" width="9.28515625" customWidth="1"/>
    <col min="2053" max="2053" width="16.85546875" customWidth="1"/>
    <col min="2054" max="2054" width="16.140625" customWidth="1"/>
    <col min="2055" max="2055" width="17.140625" customWidth="1"/>
    <col min="2305" max="2305" width="46.7109375" customWidth="1"/>
    <col min="2306" max="2306" width="31.42578125" customWidth="1"/>
    <col min="2307" max="2307" width="9.28515625" customWidth="1"/>
    <col min="2309" max="2309" width="16.85546875" customWidth="1"/>
    <col min="2310" max="2310" width="16.140625" customWidth="1"/>
    <col min="2311" max="2311" width="17.140625" customWidth="1"/>
    <col min="2561" max="2561" width="46.7109375" customWidth="1"/>
    <col min="2562" max="2562" width="31.42578125" customWidth="1"/>
    <col min="2563" max="2563" width="9.28515625" customWidth="1"/>
    <col min="2565" max="2565" width="16.85546875" customWidth="1"/>
    <col min="2566" max="2566" width="16.140625" customWidth="1"/>
    <col min="2567" max="2567" width="17.140625" customWidth="1"/>
    <col min="2817" max="2817" width="46.7109375" customWidth="1"/>
    <col min="2818" max="2818" width="31.42578125" customWidth="1"/>
    <col min="2819" max="2819" width="9.28515625" customWidth="1"/>
    <col min="2821" max="2821" width="16.85546875" customWidth="1"/>
    <col min="2822" max="2822" width="16.140625" customWidth="1"/>
    <col min="2823" max="2823" width="17.140625" customWidth="1"/>
    <col min="3073" max="3073" width="46.7109375" customWidth="1"/>
    <col min="3074" max="3074" width="31.42578125" customWidth="1"/>
    <col min="3075" max="3075" width="9.28515625" customWidth="1"/>
    <col min="3077" max="3077" width="16.85546875" customWidth="1"/>
    <col min="3078" max="3078" width="16.140625" customWidth="1"/>
    <col min="3079" max="3079" width="17.140625" customWidth="1"/>
    <col min="3329" max="3329" width="46.7109375" customWidth="1"/>
    <col min="3330" max="3330" width="31.42578125" customWidth="1"/>
    <col min="3331" max="3331" width="9.28515625" customWidth="1"/>
    <col min="3333" max="3333" width="16.85546875" customWidth="1"/>
    <col min="3334" max="3334" width="16.140625" customWidth="1"/>
    <col min="3335" max="3335" width="17.140625" customWidth="1"/>
    <col min="3585" max="3585" width="46.7109375" customWidth="1"/>
    <col min="3586" max="3586" width="31.42578125" customWidth="1"/>
    <col min="3587" max="3587" width="9.28515625" customWidth="1"/>
    <col min="3589" max="3589" width="16.85546875" customWidth="1"/>
    <col min="3590" max="3590" width="16.140625" customWidth="1"/>
    <col min="3591" max="3591" width="17.140625" customWidth="1"/>
    <col min="3841" max="3841" width="46.7109375" customWidth="1"/>
    <col min="3842" max="3842" width="31.42578125" customWidth="1"/>
    <col min="3843" max="3843" width="9.28515625" customWidth="1"/>
    <col min="3845" max="3845" width="16.85546875" customWidth="1"/>
    <col min="3846" max="3846" width="16.140625" customWidth="1"/>
    <col min="3847" max="3847" width="17.140625" customWidth="1"/>
    <col min="4097" max="4097" width="46.7109375" customWidth="1"/>
    <col min="4098" max="4098" width="31.42578125" customWidth="1"/>
    <col min="4099" max="4099" width="9.28515625" customWidth="1"/>
    <col min="4101" max="4101" width="16.85546875" customWidth="1"/>
    <col min="4102" max="4102" width="16.140625" customWidth="1"/>
    <col min="4103" max="4103" width="17.140625" customWidth="1"/>
    <col min="4353" max="4353" width="46.7109375" customWidth="1"/>
    <col min="4354" max="4354" width="31.42578125" customWidth="1"/>
    <col min="4355" max="4355" width="9.28515625" customWidth="1"/>
    <col min="4357" max="4357" width="16.85546875" customWidth="1"/>
    <col min="4358" max="4358" width="16.140625" customWidth="1"/>
    <col min="4359" max="4359" width="17.140625" customWidth="1"/>
    <col min="4609" max="4609" width="46.7109375" customWidth="1"/>
    <col min="4610" max="4610" width="31.42578125" customWidth="1"/>
    <col min="4611" max="4611" width="9.28515625" customWidth="1"/>
    <col min="4613" max="4613" width="16.85546875" customWidth="1"/>
    <col min="4614" max="4614" width="16.140625" customWidth="1"/>
    <col min="4615" max="4615" width="17.140625" customWidth="1"/>
    <col min="4865" max="4865" width="46.7109375" customWidth="1"/>
    <col min="4866" max="4866" width="31.42578125" customWidth="1"/>
    <col min="4867" max="4867" width="9.28515625" customWidth="1"/>
    <col min="4869" max="4869" width="16.85546875" customWidth="1"/>
    <col min="4870" max="4870" width="16.140625" customWidth="1"/>
    <col min="4871" max="4871" width="17.140625" customWidth="1"/>
    <col min="5121" max="5121" width="46.7109375" customWidth="1"/>
    <col min="5122" max="5122" width="31.42578125" customWidth="1"/>
    <col min="5123" max="5123" width="9.28515625" customWidth="1"/>
    <col min="5125" max="5125" width="16.85546875" customWidth="1"/>
    <col min="5126" max="5126" width="16.140625" customWidth="1"/>
    <col min="5127" max="5127" width="17.140625" customWidth="1"/>
    <col min="5377" max="5377" width="46.7109375" customWidth="1"/>
    <col min="5378" max="5378" width="31.42578125" customWidth="1"/>
    <col min="5379" max="5379" width="9.28515625" customWidth="1"/>
    <col min="5381" max="5381" width="16.85546875" customWidth="1"/>
    <col min="5382" max="5382" width="16.140625" customWidth="1"/>
    <col min="5383" max="5383" width="17.140625" customWidth="1"/>
    <col min="5633" max="5633" width="46.7109375" customWidth="1"/>
    <col min="5634" max="5634" width="31.42578125" customWidth="1"/>
    <col min="5635" max="5635" width="9.28515625" customWidth="1"/>
    <col min="5637" max="5637" width="16.85546875" customWidth="1"/>
    <col min="5638" max="5638" width="16.140625" customWidth="1"/>
    <col min="5639" max="5639" width="17.140625" customWidth="1"/>
    <col min="5889" max="5889" width="46.7109375" customWidth="1"/>
    <col min="5890" max="5890" width="31.42578125" customWidth="1"/>
    <col min="5891" max="5891" width="9.28515625" customWidth="1"/>
    <col min="5893" max="5893" width="16.85546875" customWidth="1"/>
    <col min="5894" max="5894" width="16.140625" customWidth="1"/>
    <col min="5895" max="5895" width="17.140625" customWidth="1"/>
    <col min="6145" max="6145" width="46.7109375" customWidth="1"/>
    <col min="6146" max="6146" width="31.42578125" customWidth="1"/>
    <col min="6147" max="6147" width="9.28515625" customWidth="1"/>
    <col min="6149" max="6149" width="16.85546875" customWidth="1"/>
    <col min="6150" max="6150" width="16.140625" customWidth="1"/>
    <col min="6151" max="6151" width="17.140625" customWidth="1"/>
    <col min="6401" max="6401" width="46.7109375" customWidth="1"/>
    <col min="6402" max="6402" width="31.42578125" customWidth="1"/>
    <col min="6403" max="6403" width="9.28515625" customWidth="1"/>
    <col min="6405" max="6405" width="16.85546875" customWidth="1"/>
    <col min="6406" max="6406" width="16.140625" customWidth="1"/>
    <col min="6407" max="6407" width="17.140625" customWidth="1"/>
    <col min="6657" max="6657" width="46.7109375" customWidth="1"/>
    <col min="6658" max="6658" width="31.42578125" customWidth="1"/>
    <col min="6659" max="6659" width="9.28515625" customWidth="1"/>
    <col min="6661" max="6661" width="16.85546875" customWidth="1"/>
    <col min="6662" max="6662" width="16.140625" customWidth="1"/>
    <col min="6663" max="6663" width="17.140625" customWidth="1"/>
    <col min="6913" max="6913" width="46.7109375" customWidth="1"/>
    <col min="6914" max="6914" width="31.42578125" customWidth="1"/>
    <col min="6915" max="6915" width="9.28515625" customWidth="1"/>
    <col min="6917" max="6917" width="16.85546875" customWidth="1"/>
    <col min="6918" max="6918" width="16.140625" customWidth="1"/>
    <col min="6919" max="6919" width="17.140625" customWidth="1"/>
    <col min="7169" max="7169" width="46.7109375" customWidth="1"/>
    <col min="7170" max="7170" width="31.42578125" customWidth="1"/>
    <col min="7171" max="7171" width="9.28515625" customWidth="1"/>
    <col min="7173" max="7173" width="16.85546875" customWidth="1"/>
    <col min="7174" max="7174" width="16.140625" customWidth="1"/>
    <col min="7175" max="7175" width="17.140625" customWidth="1"/>
    <col min="7425" max="7425" width="46.7109375" customWidth="1"/>
    <col min="7426" max="7426" width="31.42578125" customWidth="1"/>
    <col min="7427" max="7427" width="9.28515625" customWidth="1"/>
    <col min="7429" max="7429" width="16.85546875" customWidth="1"/>
    <col min="7430" max="7430" width="16.140625" customWidth="1"/>
    <col min="7431" max="7431" width="17.140625" customWidth="1"/>
    <col min="7681" max="7681" width="46.7109375" customWidth="1"/>
    <col min="7682" max="7682" width="31.42578125" customWidth="1"/>
    <col min="7683" max="7683" width="9.28515625" customWidth="1"/>
    <col min="7685" max="7685" width="16.85546875" customWidth="1"/>
    <col min="7686" max="7686" width="16.140625" customWidth="1"/>
    <col min="7687" max="7687" width="17.140625" customWidth="1"/>
    <col min="7937" max="7937" width="46.7109375" customWidth="1"/>
    <col min="7938" max="7938" width="31.42578125" customWidth="1"/>
    <col min="7939" max="7939" width="9.28515625" customWidth="1"/>
    <col min="7941" max="7941" width="16.85546875" customWidth="1"/>
    <col min="7942" max="7942" width="16.140625" customWidth="1"/>
    <col min="7943" max="7943" width="17.140625" customWidth="1"/>
    <col min="8193" max="8193" width="46.7109375" customWidth="1"/>
    <col min="8194" max="8194" width="31.42578125" customWidth="1"/>
    <col min="8195" max="8195" width="9.28515625" customWidth="1"/>
    <col min="8197" max="8197" width="16.85546875" customWidth="1"/>
    <col min="8198" max="8198" width="16.140625" customWidth="1"/>
    <col min="8199" max="8199" width="17.140625" customWidth="1"/>
    <col min="8449" max="8449" width="46.7109375" customWidth="1"/>
    <col min="8450" max="8450" width="31.42578125" customWidth="1"/>
    <col min="8451" max="8451" width="9.28515625" customWidth="1"/>
    <col min="8453" max="8453" width="16.85546875" customWidth="1"/>
    <col min="8454" max="8454" width="16.140625" customWidth="1"/>
    <col min="8455" max="8455" width="17.140625" customWidth="1"/>
    <col min="8705" max="8705" width="46.7109375" customWidth="1"/>
    <col min="8706" max="8706" width="31.42578125" customWidth="1"/>
    <col min="8707" max="8707" width="9.28515625" customWidth="1"/>
    <col min="8709" max="8709" width="16.85546875" customWidth="1"/>
    <col min="8710" max="8710" width="16.140625" customWidth="1"/>
    <col min="8711" max="8711" width="17.140625" customWidth="1"/>
    <col min="8961" max="8961" width="46.7109375" customWidth="1"/>
    <col min="8962" max="8962" width="31.42578125" customWidth="1"/>
    <col min="8963" max="8963" width="9.28515625" customWidth="1"/>
    <col min="8965" max="8965" width="16.85546875" customWidth="1"/>
    <col min="8966" max="8966" width="16.140625" customWidth="1"/>
    <col min="8967" max="8967" width="17.140625" customWidth="1"/>
    <col min="9217" max="9217" width="46.7109375" customWidth="1"/>
    <col min="9218" max="9218" width="31.42578125" customWidth="1"/>
    <col min="9219" max="9219" width="9.28515625" customWidth="1"/>
    <col min="9221" max="9221" width="16.85546875" customWidth="1"/>
    <col min="9222" max="9222" width="16.140625" customWidth="1"/>
    <col min="9223" max="9223" width="17.140625" customWidth="1"/>
    <col min="9473" max="9473" width="46.7109375" customWidth="1"/>
    <col min="9474" max="9474" width="31.42578125" customWidth="1"/>
    <col min="9475" max="9475" width="9.28515625" customWidth="1"/>
    <col min="9477" max="9477" width="16.85546875" customWidth="1"/>
    <col min="9478" max="9478" width="16.140625" customWidth="1"/>
    <col min="9479" max="9479" width="17.140625" customWidth="1"/>
    <col min="9729" max="9729" width="46.7109375" customWidth="1"/>
    <col min="9730" max="9730" width="31.42578125" customWidth="1"/>
    <col min="9731" max="9731" width="9.28515625" customWidth="1"/>
    <col min="9733" max="9733" width="16.85546875" customWidth="1"/>
    <col min="9734" max="9734" width="16.140625" customWidth="1"/>
    <col min="9735" max="9735" width="17.140625" customWidth="1"/>
    <col min="9985" max="9985" width="46.7109375" customWidth="1"/>
    <col min="9986" max="9986" width="31.42578125" customWidth="1"/>
    <col min="9987" max="9987" width="9.28515625" customWidth="1"/>
    <col min="9989" max="9989" width="16.85546875" customWidth="1"/>
    <col min="9990" max="9990" width="16.140625" customWidth="1"/>
    <col min="9991" max="9991" width="17.140625" customWidth="1"/>
    <col min="10241" max="10241" width="46.7109375" customWidth="1"/>
    <col min="10242" max="10242" width="31.42578125" customWidth="1"/>
    <col min="10243" max="10243" width="9.28515625" customWidth="1"/>
    <col min="10245" max="10245" width="16.85546875" customWidth="1"/>
    <col min="10246" max="10246" width="16.140625" customWidth="1"/>
    <col min="10247" max="10247" width="17.140625" customWidth="1"/>
    <col min="10497" max="10497" width="46.7109375" customWidth="1"/>
    <col min="10498" max="10498" width="31.42578125" customWidth="1"/>
    <col min="10499" max="10499" width="9.28515625" customWidth="1"/>
    <col min="10501" max="10501" width="16.85546875" customWidth="1"/>
    <col min="10502" max="10502" width="16.140625" customWidth="1"/>
    <col min="10503" max="10503" width="17.140625" customWidth="1"/>
    <col min="10753" max="10753" width="46.7109375" customWidth="1"/>
    <col min="10754" max="10754" width="31.42578125" customWidth="1"/>
    <col min="10755" max="10755" width="9.28515625" customWidth="1"/>
    <col min="10757" max="10757" width="16.85546875" customWidth="1"/>
    <col min="10758" max="10758" width="16.140625" customWidth="1"/>
    <col min="10759" max="10759" width="17.140625" customWidth="1"/>
    <col min="11009" max="11009" width="46.7109375" customWidth="1"/>
    <col min="11010" max="11010" width="31.42578125" customWidth="1"/>
    <col min="11011" max="11011" width="9.28515625" customWidth="1"/>
    <col min="11013" max="11013" width="16.85546875" customWidth="1"/>
    <col min="11014" max="11014" width="16.140625" customWidth="1"/>
    <col min="11015" max="11015" width="17.140625" customWidth="1"/>
    <col min="11265" max="11265" width="46.7109375" customWidth="1"/>
    <col min="11266" max="11266" width="31.42578125" customWidth="1"/>
    <col min="11267" max="11267" width="9.28515625" customWidth="1"/>
    <col min="11269" max="11269" width="16.85546875" customWidth="1"/>
    <col min="11270" max="11270" width="16.140625" customWidth="1"/>
    <col min="11271" max="11271" width="17.140625" customWidth="1"/>
    <col min="11521" max="11521" width="46.7109375" customWidth="1"/>
    <col min="11522" max="11522" width="31.42578125" customWidth="1"/>
    <col min="11523" max="11523" width="9.28515625" customWidth="1"/>
    <col min="11525" max="11525" width="16.85546875" customWidth="1"/>
    <col min="11526" max="11526" width="16.140625" customWidth="1"/>
    <col min="11527" max="11527" width="17.140625" customWidth="1"/>
    <col min="11777" max="11777" width="46.7109375" customWidth="1"/>
    <col min="11778" max="11778" width="31.42578125" customWidth="1"/>
    <col min="11779" max="11779" width="9.28515625" customWidth="1"/>
    <col min="11781" max="11781" width="16.85546875" customWidth="1"/>
    <col min="11782" max="11782" width="16.140625" customWidth="1"/>
    <col min="11783" max="11783" width="17.140625" customWidth="1"/>
    <col min="12033" max="12033" width="46.7109375" customWidth="1"/>
    <col min="12034" max="12034" width="31.42578125" customWidth="1"/>
    <col min="12035" max="12035" width="9.28515625" customWidth="1"/>
    <col min="12037" max="12037" width="16.85546875" customWidth="1"/>
    <col min="12038" max="12038" width="16.140625" customWidth="1"/>
    <col min="12039" max="12039" width="17.140625" customWidth="1"/>
    <col min="12289" max="12289" width="46.7109375" customWidth="1"/>
    <col min="12290" max="12290" width="31.42578125" customWidth="1"/>
    <col min="12291" max="12291" width="9.28515625" customWidth="1"/>
    <col min="12293" max="12293" width="16.85546875" customWidth="1"/>
    <col min="12294" max="12294" width="16.140625" customWidth="1"/>
    <col min="12295" max="12295" width="17.140625" customWidth="1"/>
    <col min="12545" max="12545" width="46.7109375" customWidth="1"/>
    <col min="12546" max="12546" width="31.42578125" customWidth="1"/>
    <col min="12547" max="12547" width="9.28515625" customWidth="1"/>
    <col min="12549" max="12549" width="16.85546875" customWidth="1"/>
    <col min="12550" max="12550" width="16.140625" customWidth="1"/>
    <col min="12551" max="12551" width="17.140625" customWidth="1"/>
    <col min="12801" max="12801" width="46.7109375" customWidth="1"/>
    <col min="12802" max="12802" width="31.42578125" customWidth="1"/>
    <col min="12803" max="12803" width="9.28515625" customWidth="1"/>
    <col min="12805" max="12805" width="16.85546875" customWidth="1"/>
    <col min="12806" max="12806" width="16.140625" customWidth="1"/>
    <col min="12807" max="12807" width="17.140625" customWidth="1"/>
    <col min="13057" max="13057" width="46.7109375" customWidth="1"/>
    <col min="13058" max="13058" width="31.42578125" customWidth="1"/>
    <col min="13059" max="13059" width="9.28515625" customWidth="1"/>
    <col min="13061" max="13061" width="16.85546875" customWidth="1"/>
    <col min="13062" max="13062" width="16.140625" customWidth="1"/>
    <col min="13063" max="13063" width="17.140625" customWidth="1"/>
    <col min="13313" max="13313" width="46.7109375" customWidth="1"/>
    <col min="13314" max="13314" width="31.42578125" customWidth="1"/>
    <col min="13315" max="13315" width="9.28515625" customWidth="1"/>
    <col min="13317" max="13317" width="16.85546875" customWidth="1"/>
    <col min="13318" max="13318" width="16.140625" customWidth="1"/>
    <col min="13319" max="13319" width="17.140625" customWidth="1"/>
    <col min="13569" max="13569" width="46.7109375" customWidth="1"/>
    <col min="13570" max="13570" width="31.42578125" customWidth="1"/>
    <col min="13571" max="13571" width="9.28515625" customWidth="1"/>
    <col min="13573" max="13573" width="16.85546875" customWidth="1"/>
    <col min="13574" max="13574" width="16.140625" customWidth="1"/>
    <col min="13575" max="13575" width="17.140625" customWidth="1"/>
    <col min="13825" max="13825" width="46.7109375" customWidth="1"/>
    <col min="13826" max="13826" width="31.42578125" customWidth="1"/>
    <col min="13827" max="13827" width="9.28515625" customWidth="1"/>
    <col min="13829" max="13829" width="16.85546875" customWidth="1"/>
    <col min="13830" max="13830" width="16.140625" customWidth="1"/>
    <col min="13831" max="13831" width="17.140625" customWidth="1"/>
    <col min="14081" max="14081" width="46.7109375" customWidth="1"/>
    <col min="14082" max="14082" width="31.42578125" customWidth="1"/>
    <col min="14083" max="14083" width="9.28515625" customWidth="1"/>
    <col min="14085" max="14085" width="16.85546875" customWidth="1"/>
    <col min="14086" max="14086" width="16.140625" customWidth="1"/>
    <col min="14087" max="14087" width="17.140625" customWidth="1"/>
    <col min="14337" max="14337" width="46.7109375" customWidth="1"/>
    <col min="14338" max="14338" width="31.42578125" customWidth="1"/>
    <col min="14339" max="14339" width="9.28515625" customWidth="1"/>
    <col min="14341" max="14341" width="16.85546875" customWidth="1"/>
    <col min="14342" max="14342" width="16.140625" customWidth="1"/>
    <col min="14343" max="14343" width="17.140625" customWidth="1"/>
    <col min="14593" max="14593" width="46.7109375" customWidth="1"/>
    <col min="14594" max="14594" width="31.42578125" customWidth="1"/>
    <col min="14595" max="14595" width="9.28515625" customWidth="1"/>
    <col min="14597" max="14597" width="16.85546875" customWidth="1"/>
    <col min="14598" max="14598" width="16.140625" customWidth="1"/>
    <col min="14599" max="14599" width="17.140625" customWidth="1"/>
    <col min="14849" max="14849" width="46.7109375" customWidth="1"/>
    <col min="14850" max="14850" width="31.42578125" customWidth="1"/>
    <col min="14851" max="14851" width="9.28515625" customWidth="1"/>
    <col min="14853" max="14853" width="16.85546875" customWidth="1"/>
    <col min="14854" max="14854" width="16.140625" customWidth="1"/>
    <col min="14855" max="14855" width="17.140625" customWidth="1"/>
    <col min="15105" max="15105" width="46.7109375" customWidth="1"/>
    <col min="15106" max="15106" width="31.42578125" customWidth="1"/>
    <col min="15107" max="15107" width="9.28515625" customWidth="1"/>
    <col min="15109" max="15109" width="16.85546875" customWidth="1"/>
    <col min="15110" max="15110" width="16.140625" customWidth="1"/>
    <col min="15111" max="15111" width="17.140625" customWidth="1"/>
    <col min="15361" max="15361" width="46.7109375" customWidth="1"/>
    <col min="15362" max="15362" width="31.42578125" customWidth="1"/>
    <col min="15363" max="15363" width="9.28515625" customWidth="1"/>
    <col min="15365" max="15365" width="16.85546875" customWidth="1"/>
    <col min="15366" max="15366" width="16.140625" customWidth="1"/>
    <col min="15367" max="15367" width="17.140625" customWidth="1"/>
    <col min="15617" max="15617" width="46.7109375" customWidth="1"/>
    <col min="15618" max="15618" width="31.42578125" customWidth="1"/>
    <col min="15619" max="15619" width="9.28515625" customWidth="1"/>
    <col min="15621" max="15621" width="16.85546875" customWidth="1"/>
    <col min="15622" max="15622" width="16.140625" customWidth="1"/>
    <col min="15623" max="15623" width="17.140625" customWidth="1"/>
    <col min="15873" max="15873" width="46.7109375" customWidth="1"/>
    <col min="15874" max="15874" width="31.42578125" customWidth="1"/>
    <col min="15875" max="15875" width="9.28515625" customWidth="1"/>
    <col min="15877" max="15877" width="16.85546875" customWidth="1"/>
    <col min="15878" max="15878" width="16.140625" customWidth="1"/>
    <col min="15879" max="15879" width="17.140625" customWidth="1"/>
    <col min="16129" max="16129" width="46.7109375" customWidth="1"/>
    <col min="16130" max="16130" width="31.42578125" customWidth="1"/>
    <col min="16131" max="16131" width="9.28515625" customWidth="1"/>
    <col min="16133" max="16133" width="16.85546875" customWidth="1"/>
    <col min="16134" max="16134" width="16.140625" customWidth="1"/>
    <col min="16135" max="16135" width="17.140625" customWidth="1"/>
  </cols>
  <sheetData>
    <row r="1" spans="1:10" ht="18" x14ac:dyDescent="0.25">
      <c r="A1" s="20" t="s">
        <v>126</v>
      </c>
      <c r="B1" s="21" t="s">
        <v>127</v>
      </c>
      <c r="C1" s="21" t="s">
        <v>77</v>
      </c>
      <c r="D1" s="42" t="s">
        <v>78</v>
      </c>
      <c r="E1" s="42" t="s">
        <v>79</v>
      </c>
      <c r="F1" s="23" t="s">
        <v>80</v>
      </c>
      <c r="G1" s="21" t="s">
        <v>81</v>
      </c>
    </row>
    <row r="2" spans="1:10" ht="18" x14ac:dyDescent="0.25">
      <c r="A2" s="25" t="s">
        <v>82</v>
      </c>
      <c r="B2" s="26"/>
      <c r="C2" s="26"/>
      <c r="D2" s="27"/>
      <c r="E2" s="27"/>
      <c r="F2" s="43">
        <v>0.24</v>
      </c>
      <c r="G2" s="30"/>
      <c r="H2" s="30"/>
      <c r="I2" s="30"/>
      <c r="J2" s="30"/>
    </row>
    <row r="3" spans="1:10" x14ac:dyDescent="0.25">
      <c r="A3" s="6" t="s">
        <v>128</v>
      </c>
      <c r="B3" s="55" t="s">
        <v>203</v>
      </c>
      <c r="C3">
        <v>117</v>
      </c>
      <c r="D3" s="8">
        <v>18</v>
      </c>
      <c r="E3" s="8">
        <f>+D3*C3</f>
        <v>2106</v>
      </c>
      <c r="F3" s="8">
        <f>+E3*F2</f>
        <v>505.44</v>
      </c>
      <c r="G3" s="11">
        <f>+E3+F3</f>
        <v>2611.44</v>
      </c>
      <c r="I3" s="11"/>
    </row>
    <row r="4" spans="1:10" x14ac:dyDescent="0.25">
      <c r="A4" s="6" t="s">
        <v>129</v>
      </c>
      <c r="B4" s="55" t="s">
        <v>204</v>
      </c>
      <c r="C4">
        <v>117</v>
      </c>
      <c r="D4" s="8">
        <v>18</v>
      </c>
      <c r="E4" s="8">
        <f>+D4*C4</f>
        <v>2106</v>
      </c>
      <c r="F4" s="8">
        <f>+E4*F2</f>
        <v>505.44</v>
      </c>
      <c r="G4" s="11">
        <f>+E4+F4</f>
        <v>2611.44</v>
      </c>
    </row>
    <row r="5" spans="1:10" x14ac:dyDescent="0.25">
      <c r="A5" s="31" t="s">
        <v>87</v>
      </c>
      <c r="D5" s="8"/>
      <c r="E5" s="15"/>
      <c r="F5" s="15"/>
      <c r="I5" s="11"/>
    </row>
    <row r="6" spans="1:10" ht="18" x14ac:dyDescent="0.25">
      <c r="A6" s="20" t="s">
        <v>88</v>
      </c>
      <c r="B6" s="32"/>
      <c r="C6" s="32"/>
      <c r="D6" s="33"/>
      <c r="E6" s="34">
        <f>SUM(E3:E5)</f>
        <v>4212</v>
      </c>
      <c r="F6" s="34">
        <f>SUM(F3:F5)</f>
        <v>1010.88</v>
      </c>
      <c r="G6" s="44">
        <f>+E6+F6</f>
        <v>5222.88</v>
      </c>
    </row>
    <row r="7" spans="1:10" x14ac:dyDescent="0.25">
      <c r="A7" s="6"/>
      <c r="D7" s="8"/>
      <c r="E7" s="15"/>
      <c r="F7" s="15"/>
      <c r="G7" s="6"/>
    </row>
    <row r="8" spans="1:10" ht="18" x14ac:dyDescent="0.25">
      <c r="A8" s="25" t="s">
        <v>89</v>
      </c>
      <c r="D8" s="8"/>
      <c r="E8" s="15"/>
      <c r="F8" s="15"/>
      <c r="G8" s="5"/>
    </row>
    <row r="9" spans="1:10" x14ac:dyDescent="0.25">
      <c r="A9" s="6" t="s">
        <v>130</v>
      </c>
      <c r="B9" s="55" t="s">
        <v>207</v>
      </c>
      <c r="C9">
        <v>131</v>
      </c>
      <c r="D9" s="8">
        <v>20</v>
      </c>
      <c r="E9" s="8">
        <f>+C9*D9</f>
        <v>2620</v>
      </c>
      <c r="F9" s="8">
        <f>+E9*F2</f>
        <v>628.79999999999995</v>
      </c>
      <c r="G9" s="8">
        <f>+E9+F9</f>
        <v>3248.8</v>
      </c>
      <c r="H9" s="5"/>
    </row>
    <row r="10" spans="1:10" x14ac:dyDescent="0.25">
      <c r="A10" s="6" t="s">
        <v>131</v>
      </c>
      <c r="B10" s="55" t="s">
        <v>211</v>
      </c>
      <c r="C10">
        <v>131</v>
      </c>
      <c r="D10" s="8">
        <v>20</v>
      </c>
      <c r="E10" s="36">
        <f>+C10*D10</f>
        <v>2620</v>
      </c>
      <c r="F10" s="8">
        <f>+E10*F2</f>
        <v>628.79999999999995</v>
      </c>
      <c r="G10" s="8">
        <f>+E10+F10</f>
        <v>3248.8</v>
      </c>
      <c r="H10" s="30"/>
    </row>
    <row r="11" spans="1:10" x14ac:dyDescent="0.25">
      <c r="A11" s="6"/>
      <c r="B11" s="14"/>
      <c r="D11" s="8"/>
      <c r="E11" s="36"/>
      <c r="F11" s="8"/>
      <c r="G11" s="8"/>
      <c r="H11" s="30"/>
    </row>
    <row r="12" spans="1:10" ht="18" x14ac:dyDescent="0.25">
      <c r="A12" s="20" t="s">
        <v>93</v>
      </c>
      <c r="B12" s="32"/>
      <c r="C12" s="32"/>
      <c r="D12" s="33"/>
      <c r="E12" s="34">
        <f>SUM(E9:E10)</f>
        <v>5240</v>
      </c>
      <c r="F12" s="34">
        <f>SUM(F9:F10)</f>
        <v>1257.5999999999999</v>
      </c>
      <c r="G12" s="34">
        <f>SUM(G9:G10)</f>
        <v>6497.6</v>
      </c>
    </row>
    <row r="13" spans="1:10" ht="18" x14ac:dyDescent="0.25">
      <c r="A13" s="25"/>
      <c r="B13" s="37"/>
      <c r="C13" s="37"/>
      <c r="D13" s="38"/>
      <c r="E13" s="39"/>
      <c r="F13" s="39"/>
    </row>
    <row r="14" spans="1:10" ht="20.25" x14ac:dyDescent="0.3">
      <c r="A14" s="1" t="s">
        <v>94</v>
      </c>
      <c r="B14" s="31" t="s">
        <v>95</v>
      </c>
      <c r="D14" s="8"/>
      <c r="E14" s="8"/>
      <c r="F14" s="8"/>
    </row>
    <row r="15" spans="1:10" x14ac:dyDescent="0.25">
      <c r="A15" s="6" t="s">
        <v>132</v>
      </c>
      <c r="B15" t="s">
        <v>97</v>
      </c>
      <c r="C15">
        <v>4</v>
      </c>
      <c r="D15" s="8">
        <v>80</v>
      </c>
      <c r="E15" s="8">
        <f>+D15*C15</f>
        <v>320</v>
      </c>
      <c r="F15" s="8">
        <f>+E15*F2</f>
        <v>76.8</v>
      </c>
      <c r="G15" s="45">
        <f>+E15+F15</f>
        <v>396.8</v>
      </c>
      <c r="I15">
        <v>16</v>
      </c>
      <c r="J15" t="s">
        <v>133</v>
      </c>
    </row>
    <row r="16" spans="1:10" x14ac:dyDescent="0.25">
      <c r="A16" s="6"/>
      <c r="B16" t="s">
        <v>98</v>
      </c>
      <c r="C16">
        <v>1</v>
      </c>
      <c r="D16" s="8">
        <v>80</v>
      </c>
      <c r="E16" s="8">
        <f>+D16*C16</f>
        <v>80</v>
      </c>
      <c r="F16" s="8">
        <f>+E16*F2</f>
        <v>19.2</v>
      </c>
      <c r="G16" s="45">
        <f>+E16+F16</f>
        <v>99.2</v>
      </c>
      <c r="I16">
        <v>75</v>
      </c>
      <c r="J16" t="s">
        <v>134</v>
      </c>
    </row>
    <row r="17" spans="1:9" x14ac:dyDescent="0.25">
      <c r="A17" s="6" t="s">
        <v>91</v>
      </c>
      <c r="D17" s="8"/>
      <c r="E17" s="15">
        <f>SUM(E15:E16)</f>
        <v>400</v>
      </c>
      <c r="F17" s="8">
        <f>+E17*F2</f>
        <v>96</v>
      </c>
      <c r="G17" s="15">
        <f>SUM(G15:G16)</f>
        <v>496</v>
      </c>
    </row>
    <row r="18" spans="1:9" x14ac:dyDescent="0.25">
      <c r="A18" s="6"/>
      <c r="D18" s="8"/>
      <c r="E18" s="36"/>
      <c r="F18" s="8">
        <f>+E18*0.2</f>
        <v>0</v>
      </c>
    </row>
    <row r="19" spans="1:9" x14ac:dyDescent="0.25">
      <c r="A19" s="6" t="s">
        <v>135</v>
      </c>
      <c r="B19" t="s">
        <v>102</v>
      </c>
      <c r="C19">
        <v>40</v>
      </c>
      <c r="D19" s="8">
        <v>5</v>
      </c>
      <c r="E19" s="8">
        <f>+D19*C19</f>
        <v>200</v>
      </c>
      <c r="F19" s="8">
        <f>+E19*F2</f>
        <v>48</v>
      </c>
      <c r="G19" s="45">
        <f>+E19+F19</f>
        <v>248</v>
      </c>
    </row>
    <row r="20" spans="1:9" x14ac:dyDescent="0.25">
      <c r="A20" s="6"/>
      <c r="B20" t="s">
        <v>104</v>
      </c>
      <c r="C20">
        <v>40</v>
      </c>
      <c r="D20" s="8">
        <v>4</v>
      </c>
      <c r="E20" s="8">
        <f>+D20*C20</f>
        <v>160</v>
      </c>
      <c r="F20" s="8">
        <f>+E20*F2</f>
        <v>38.4</v>
      </c>
      <c r="G20" s="45">
        <f>+E20+F20</f>
        <v>198.4</v>
      </c>
    </row>
    <row r="21" spans="1:9" x14ac:dyDescent="0.25">
      <c r="A21" s="6" t="s">
        <v>91</v>
      </c>
      <c r="D21" s="8"/>
      <c r="E21" s="15">
        <f>SUM(E19:E20)</f>
        <v>360</v>
      </c>
      <c r="F21" s="8">
        <f>+E21*F2</f>
        <v>86.399999999999991</v>
      </c>
      <c r="G21" s="15">
        <f>SUM(G19:G20)</f>
        <v>446.4</v>
      </c>
    </row>
    <row r="22" spans="1:9" x14ac:dyDescent="0.25">
      <c r="A22" s="6"/>
      <c r="D22" s="8"/>
      <c r="E22" s="15"/>
      <c r="F22" s="8">
        <f>+E22*0.2</f>
        <v>0</v>
      </c>
      <c r="G22" s="15"/>
    </row>
    <row r="23" spans="1:9" x14ac:dyDescent="0.25">
      <c r="A23" s="6" t="s">
        <v>136</v>
      </c>
      <c r="B23" t="s">
        <v>106</v>
      </c>
      <c r="C23">
        <v>4</v>
      </c>
      <c r="D23" s="8">
        <v>80</v>
      </c>
      <c r="E23" s="8">
        <f>+D23*C23</f>
        <v>320</v>
      </c>
      <c r="F23" s="8">
        <f>+E23*F2</f>
        <v>76.8</v>
      </c>
      <c r="G23" s="45">
        <f>+E23+F23</f>
        <v>396.8</v>
      </c>
    </row>
    <row r="24" spans="1:9" x14ac:dyDescent="0.25">
      <c r="A24" s="6"/>
      <c r="B24" t="s">
        <v>98</v>
      </c>
      <c r="C24">
        <v>1</v>
      </c>
      <c r="D24" s="8">
        <v>80</v>
      </c>
      <c r="E24" s="8">
        <f>+D24*C24</f>
        <v>80</v>
      </c>
      <c r="F24" s="8">
        <f>+E24*F2</f>
        <v>19.2</v>
      </c>
      <c r="G24" s="45">
        <f>+E24+F24</f>
        <v>99.2</v>
      </c>
    </row>
    <row r="25" spans="1:9" x14ac:dyDescent="0.25">
      <c r="A25" s="6" t="s">
        <v>91</v>
      </c>
      <c r="D25" s="8"/>
      <c r="E25" s="15">
        <f>SUM(E23:E24)</f>
        <v>400</v>
      </c>
      <c r="F25" s="8">
        <f>+E25*F2</f>
        <v>96</v>
      </c>
      <c r="G25" s="15">
        <f>SUM(G23:G24)</f>
        <v>496</v>
      </c>
    </row>
    <row r="26" spans="1:9" x14ac:dyDescent="0.25">
      <c r="A26" s="6"/>
      <c r="D26" s="8"/>
      <c r="E26" s="8"/>
      <c r="F26" s="8">
        <f>+E26*0.2</f>
        <v>0</v>
      </c>
      <c r="G26" s="45"/>
    </row>
    <row r="27" spans="1:9" x14ac:dyDescent="0.25">
      <c r="A27" s="6" t="s">
        <v>137</v>
      </c>
      <c r="B27" t="s">
        <v>102</v>
      </c>
      <c r="C27">
        <v>40</v>
      </c>
      <c r="D27" s="8">
        <v>5</v>
      </c>
      <c r="E27" s="8">
        <f>+D27*C27</f>
        <v>200</v>
      </c>
      <c r="F27" s="8">
        <f>+E27*F2</f>
        <v>48</v>
      </c>
      <c r="G27" s="45">
        <f>+E27+F27</f>
        <v>248</v>
      </c>
    </row>
    <row r="28" spans="1:9" x14ac:dyDescent="0.25">
      <c r="A28" s="6"/>
      <c r="B28" t="s">
        <v>104</v>
      </c>
      <c r="C28">
        <v>40</v>
      </c>
      <c r="D28" s="8">
        <v>4</v>
      </c>
      <c r="E28" s="8">
        <f>+D28*C28</f>
        <v>160</v>
      </c>
      <c r="F28" s="8">
        <f>+E28*F2</f>
        <v>38.4</v>
      </c>
      <c r="G28" s="45">
        <f>+E28+F28</f>
        <v>198.4</v>
      </c>
    </row>
    <row r="29" spans="1:9" x14ac:dyDescent="0.25">
      <c r="A29" s="6" t="s">
        <v>91</v>
      </c>
      <c r="D29" s="8"/>
      <c r="E29" s="15">
        <f>SUM(E27:E28)</f>
        <v>360</v>
      </c>
      <c r="F29" s="8">
        <f>+E29*F2</f>
        <v>86.399999999999991</v>
      </c>
      <c r="G29" s="15">
        <f>SUM(G27:G28)</f>
        <v>446.4</v>
      </c>
    </row>
    <row r="30" spans="1:9" x14ac:dyDescent="0.25">
      <c r="A30" s="6"/>
      <c r="D30" s="8"/>
      <c r="E30" s="36"/>
      <c r="F30" s="36"/>
    </row>
    <row r="31" spans="1:9" ht="18" x14ac:dyDescent="0.25">
      <c r="A31" s="20" t="s">
        <v>110</v>
      </c>
      <c r="B31" s="32"/>
      <c r="C31" s="32"/>
      <c r="D31" s="33"/>
      <c r="E31" s="34">
        <f>+E17+E21+E25+E29</f>
        <v>1520</v>
      </c>
      <c r="F31" s="34">
        <f>+F17+F21+F25+F29</f>
        <v>364.79999999999995</v>
      </c>
      <c r="G31" s="34">
        <f>+G17+G21+G25+G29</f>
        <v>1884.8000000000002</v>
      </c>
      <c r="I31">
        <f>+G31/93</f>
        <v>20.266666666666669</v>
      </c>
    </row>
    <row r="32" spans="1:9" x14ac:dyDescent="0.25">
      <c r="B32" s="6" t="s">
        <v>118</v>
      </c>
      <c r="D32" s="8"/>
      <c r="E32" s="15"/>
      <c r="F32" s="15"/>
    </row>
    <row r="33" spans="1:9" x14ac:dyDescent="0.25">
      <c r="A33" s="6"/>
      <c r="B33" s="6"/>
      <c r="D33" s="8"/>
      <c r="E33" s="15"/>
      <c r="F33" s="15"/>
    </row>
    <row r="34" spans="1:9" ht="18" x14ac:dyDescent="0.25">
      <c r="A34" s="149" t="s">
        <v>138</v>
      </c>
      <c r="B34" s="149"/>
      <c r="C34" s="37"/>
      <c r="D34" s="38"/>
      <c r="E34" s="39">
        <f>+E6+E12+E31</f>
        <v>10972</v>
      </c>
      <c r="F34" s="39">
        <f>+F6+F12+F31</f>
        <v>2633.2799999999997</v>
      </c>
      <c r="G34" s="39">
        <f>+G6+G12+G31</f>
        <v>13605.279999999999</v>
      </c>
    </row>
    <row r="35" spans="1:9" x14ac:dyDescent="0.25">
      <c r="A35" s="6"/>
      <c r="D35" s="8"/>
      <c r="E35" s="8"/>
      <c r="F35" s="8"/>
    </row>
    <row r="36" spans="1:9" ht="18" x14ac:dyDescent="0.25">
      <c r="A36" s="25" t="s">
        <v>139</v>
      </c>
      <c r="F36" s="11"/>
    </row>
    <row r="37" spans="1:9" x14ac:dyDescent="0.25">
      <c r="B37" s="46" t="s">
        <v>140</v>
      </c>
      <c r="C37" s="46" t="s">
        <v>141</v>
      </c>
      <c r="D37" s="46"/>
      <c r="E37" s="46" t="s">
        <v>142</v>
      </c>
      <c r="F37" s="46" t="s">
        <v>143</v>
      </c>
      <c r="G37" s="46" t="s">
        <v>144</v>
      </c>
    </row>
    <row r="38" spans="1:9" x14ac:dyDescent="0.25">
      <c r="A38" s="6" t="s">
        <v>208</v>
      </c>
      <c r="B38" s="6" t="s">
        <v>212</v>
      </c>
      <c r="E38" s="8"/>
      <c r="F38" s="8">
        <f>+E38*0.25</f>
        <v>0</v>
      </c>
      <c r="G38" s="8">
        <v>2000</v>
      </c>
    </row>
    <row r="39" spans="1:9" x14ac:dyDescent="0.25">
      <c r="A39" s="6" t="s">
        <v>209</v>
      </c>
      <c r="B39" s="14"/>
      <c r="E39" s="8"/>
      <c r="F39" s="8">
        <f>+E39*0.25</f>
        <v>0</v>
      </c>
      <c r="G39" s="8">
        <f>+E39+F39</f>
        <v>0</v>
      </c>
    </row>
    <row r="40" spans="1:9" x14ac:dyDescent="0.25">
      <c r="A40" s="6" t="s">
        <v>213</v>
      </c>
      <c r="B40" s="14"/>
      <c r="C40">
        <v>1</v>
      </c>
      <c r="E40" s="8">
        <v>475</v>
      </c>
      <c r="F40" s="8">
        <f>+E40*0.25</f>
        <v>118.75</v>
      </c>
      <c r="G40" s="8">
        <f>+E40+F40</f>
        <v>593.75</v>
      </c>
    </row>
    <row r="41" spans="1:9" x14ac:dyDescent="0.25">
      <c r="B41" s="14"/>
      <c r="E41" s="8"/>
      <c r="F41" s="8">
        <f>+E41*0.25</f>
        <v>0</v>
      </c>
      <c r="G41" s="8">
        <f>+E41+F41</f>
        <v>0</v>
      </c>
    </row>
    <row r="42" spans="1:9" x14ac:dyDescent="0.25">
      <c r="B42" s="14"/>
      <c r="E42" s="8"/>
      <c r="F42" s="8">
        <f>+E42*0.25</f>
        <v>0</v>
      </c>
      <c r="G42" s="8">
        <f>+E42+F42</f>
        <v>0</v>
      </c>
    </row>
    <row r="43" spans="1:9" x14ac:dyDescent="0.25">
      <c r="E43" s="8"/>
      <c r="F43" s="8"/>
      <c r="G43" s="8"/>
    </row>
    <row r="44" spans="1:9" x14ac:dyDescent="0.25">
      <c r="E44" s="8"/>
      <c r="F44" s="8"/>
      <c r="G44" s="8"/>
    </row>
    <row r="46" spans="1:9" ht="18" x14ac:dyDescent="0.25">
      <c r="A46" s="149" t="s">
        <v>145</v>
      </c>
      <c r="B46" s="149"/>
      <c r="G46" s="41">
        <f>+G38+G40</f>
        <v>2593.75</v>
      </c>
      <c r="I46">
        <f>+G46/93</f>
        <v>27.88978494623656</v>
      </c>
    </row>
    <row r="49" spans="1:9" ht="18" x14ac:dyDescent="0.25">
      <c r="A49" s="149" t="s">
        <v>146</v>
      </c>
      <c r="B49" s="149"/>
      <c r="G49" s="41">
        <f>+G34+G46</f>
        <v>16199.029999999999</v>
      </c>
      <c r="I49" s="11">
        <f>+I5+I31+I46</f>
        <v>48.156451612903226</v>
      </c>
    </row>
  </sheetData>
  <mergeCells count="3">
    <mergeCell ref="A34:B34"/>
    <mergeCell ref="A46:B46"/>
    <mergeCell ref="A49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7"/>
  <sheetViews>
    <sheetView topLeftCell="A49" workbookViewId="0">
      <selection activeCell="C66" sqref="C66"/>
    </sheetView>
  </sheetViews>
  <sheetFormatPr defaultRowHeight="15" x14ac:dyDescent="0.25"/>
  <cols>
    <col min="1" max="1" width="41.5703125" customWidth="1"/>
    <col min="2" max="2" width="44.28515625" customWidth="1"/>
    <col min="3" max="3" width="9.28515625" customWidth="1"/>
    <col min="4" max="4" width="10.85546875" bestFit="1" customWidth="1"/>
    <col min="5" max="5" width="17.140625" customWidth="1"/>
    <col min="6" max="6" width="17" customWidth="1"/>
    <col min="7" max="7" width="17.5703125" style="8" customWidth="1"/>
    <col min="8" max="8" width="14.5703125" customWidth="1"/>
    <col min="9" max="9" width="14.42578125" customWidth="1"/>
    <col min="257" max="257" width="41.5703125" customWidth="1"/>
    <col min="258" max="258" width="20.5703125" customWidth="1"/>
    <col min="259" max="259" width="9.28515625" customWidth="1"/>
    <col min="261" max="261" width="17.140625" customWidth="1"/>
    <col min="262" max="262" width="17" customWidth="1"/>
    <col min="263" max="263" width="17.5703125" customWidth="1"/>
    <col min="264" max="264" width="14.5703125" customWidth="1"/>
    <col min="513" max="513" width="41.5703125" customWidth="1"/>
    <col min="514" max="514" width="20.5703125" customWidth="1"/>
    <col min="515" max="515" width="9.28515625" customWidth="1"/>
    <col min="517" max="517" width="17.140625" customWidth="1"/>
    <col min="518" max="518" width="17" customWidth="1"/>
    <col min="519" max="519" width="17.5703125" customWidth="1"/>
    <col min="520" max="520" width="14.5703125" customWidth="1"/>
    <col min="769" max="769" width="41.5703125" customWidth="1"/>
    <col min="770" max="770" width="20.5703125" customWidth="1"/>
    <col min="771" max="771" width="9.28515625" customWidth="1"/>
    <col min="773" max="773" width="17.140625" customWidth="1"/>
    <col min="774" max="774" width="17" customWidth="1"/>
    <col min="775" max="775" width="17.5703125" customWidth="1"/>
    <col min="776" max="776" width="14.5703125" customWidth="1"/>
    <col min="1025" max="1025" width="41.5703125" customWidth="1"/>
    <col min="1026" max="1026" width="20.5703125" customWidth="1"/>
    <col min="1027" max="1027" width="9.28515625" customWidth="1"/>
    <col min="1029" max="1029" width="17.140625" customWidth="1"/>
    <col min="1030" max="1030" width="17" customWidth="1"/>
    <col min="1031" max="1031" width="17.5703125" customWidth="1"/>
    <col min="1032" max="1032" width="14.5703125" customWidth="1"/>
    <col min="1281" max="1281" width="41.5703125" customWidth="1"/>
    <col min="1282" max="1282" width="20.5703125" customWidth="1"/>
    <col min="1283" max="1283" width="9.28515625" customWidth="1"/>
    <col min="1285" max="1285" width="17.140625" customWidth="1"/>
    <col min="1286" max="1286" width="17" customWidth="1"/>
    <col min="1287" max="1287" width="17.5703125" customWidth="1"/>
    <col min="1288" max="1288" width="14.5703125" customWidth="1"/>
    <col min="1537" max="1537" width="41.5703125" customWidth="1"/>
    <col min="1538" max="1538" width="20.5703125" customWidth="1"/>
    <col min="1539" max="1539" width="9.28515625" customWidth="1"/>
    <col min="1541" max="1541" width="17.140625" customWidth="1"/>
    <col min="1542" max="1542" width="17" customWidth="1"/>
    <col min="1543" max="1543" width="17.5703125" customWidth="1"/>
    <col min="1544" max="1544" width="14.5703125" customWidth="1"/>
    <col min="1793" max="1793" width="41.5703125" customWidth="1"/>
    <col min="1794" max="1794" width="20.5703125" customWidth="1"/>
    <col min="1795" max="1795" width="9.28515625" customWidth="1"/>
    <col min="1797" max="1797" width="17.140625" customWidth="1"/>
    <col min="1798" max="1798" width="17" customWidth="1"/>
    <col min="1799" max="1799" width="17.5703125" customWidth="1"/>
    <col min="1800" max="1800" width="14.5703125" customWidth="1"/>
    <col min="2049" max="2049" width="41.5703125" customWidth="1"/>
    <col min="2050" max="2050" width="20.5703125" customWidth="1"/>
    <col min="2051" max="2051" width="9.28515625" customWidth="1"/>
    <col min="2053" max="2053" width="17.140625" customWidth="1"/>
    <col min="2054" max="2054" width="17" customWidth="1"/>
    <col min="2055" max="2055" width="17.5703125" customWidth="1"/>
    <col min="2056" max="2056" width="14.5703125" customWidth="1"/>
    <col min="2305" max="2305" width="41.5703125" customWidth="1"/>
    <col min="2306" max="2306" width="20.5703125" customWidth="1"/>
    <col min="2307" max="2307" width="9.28515625" customWidth="1"/>
    <col min="2309" max="2309" width="17.140625" customWidth="1"/>
    <col min="2310" max="2310" width="17" customWidth="1"/>
    <col min="2311" max="2311" width="17.5703125" customWidth="1"/>
    <col min="2312" max="2312" width="14.5703125" customWidth="1"/>
    <col min="2561" max="2561" width="41.5703125" customWidth="1"/>
    <col min="2562" max="2562" width="20.5703125" customWidth="1"/>
    <col min="2563" max="2563" width="9.28515625" customWidth="1"/>
    <col min="2565" max="2565" width="17.140625" customWidth="1"/>
    <col min="2566" max="2566" width="17" customWidth="1"/>
    <col min="2567" max="2567" width="17.5703125" customWidth="1"/>
    <col min="2568" max="2568" width="14.5703125" customWidth="1"/>
    <col min="2817" max="2817" width="41.5703125" customWidth="1"/>
    <col min="2818" max="2818" width="20.5703125" customWidth="1"/>
    <col min="2819" max="2819" width="9.28515625" customWidth="1"/>
    <col min="2821" max="2821" width="17.140625" customWidth="1"/>
    <col min="2822" max="2822" width="17" customWidth="1"/>
    <col min="2823" max="2823" width="17.5703125" customWidth="1"/>
    <col min="2824" max="2824" width="14.5703125" customWidth="1"/>
    <col min="3073" max="3073" width="41.5703125" customWidth="1"/>
    <col min="3074" max="3074" width="20.5703125" customWidth="1"/>
    <col min="3075" max="3075" width="9.28515625" customWidth="1"/>
    <col min="3077" max="3077" width="17.140625" customWidth="1"/>
    <col min="3078" max="3078" width="17" customWidth="1"/>
    <col min="3079" max="3079" width="17.5703125" customWidth="1"/>
    <col min="3080" max="3080" width="14.5703125" customWidth="1"/>
    <col min="3329" max="3329" width="41.5703125" customWidth="1"/>
    <col min="3330" max="3330" width="20.5703125" customWidth="1"/>
    <col min="3331" max="3331" width="9.28515625" customWidth="1"/>
    <col min="3333" max="3333" width="17.140625" customWidth="1"/>
    <col min="3334" max="3334" width="17" customWidth="1"/>
    <col min="3335" max="3335" width="17.5703125" customWidth="1"/>
    <col min="3336" max="3336" width="14.5703125" customWidth="1"/>
    <col min="3585" max="3585" width="41.5703125" customWidth="1"/>
    <col min="3586" max="3586" width="20.5703125" customWidth="1"/>
    <col min="3587" max="3587" width="9.28515625" customWidth="1"/>
    <col min="3589" max="3589" width="17.140625" customWidth="1"/>
    <col min="3590" max="3590" width="17" customWidth="1"/>
    <col min="3591" max="3591" width="17.5703125" customWidth="1"/>
    <col min="3592" max="3592" width="14.5703125" customWidth="1"/>
    <col min="3841" max="3841" width="41.5703125" customWidth="1"/>
    <col min="3842" max="3842" width="20.5703125" customWidth="1"/>
    <col min="3843" max="3843" width="9.28515625" customWidth="1"/>
    <col min="3845" max="3845" width="17.140625" customWidth="1"/>
    <col min="3846" max="3846" width="17" customWidth="1"/>
    <col min="3847" max="3847" width="17.5703125" customWidth="1"/>
    <col min="3848" max="3848" width="14.5703125" customWidth="1"/>
    <col min="4097" max="4097" width="41.5703125" customWidth="1"/>
    <col min="4098" max="4098" width="20.5703125" customWidth="1"/>
    <col min="4099" max="4099" width="9.28515625" customWidth="1"/>
    <col min="4101" max="4101" width="17.140625" customWidth="1"/>
    <col min="4102" max="4102" width="17" customWidth="1"/>
    <col min="4103" max="4103" width="17.5703125" customWidth="1"/>
    <col min="4104" max="4104" width="14.5703125" customWidth="1"/>
    <col min="4353" max="4353" width="41.5703125" customWidth="1"/>
    <col min="4354" max="4354" width="20.5703125" customWidth="1"/>
    <col min="4355" max="4355" width="9.28515625" customWidth="1"/>
    <col min="4357" max="4357" width="17.140625" customWidth="1"/>
    <col min="4358" max="4358" width="17" customWidth="1"/>
    <col min="4359" max="4359" width="17.5703125" customWidth="1"/>
    <col min="4360" max="4360" width="14.5703125" customWidth="1"/>
    <col min="4609" max="4609" width="41.5703125" customWidth="1"/>
    <col min="4610" max="4610" width="20.5703125" customWidth="1"/>
    <col min="4611" max="4611" width="9.28515625" customWidth="1"/>
    <col min="4613" max="4613" width="17.140625" customWidth="1"/>
    <col min="4614" max="4614" width="17" customWidth="1"/>
    <col min="4615" max="4615" width="17.5703125" customWidth="1"/>
    <col min="4616" max="4616" width="14.5703125" customWidth="1"/>
    <col min="4865" max="4865" width="41.5703125" customWidth="1"/>
    <col min="4866" max="4866" width="20.5703125" customWidth="1"/>
    <col min="4867" max="4867" width="9.28515625" customWidth="1"/>
    <col min="4869" max="4869" width="17.140625" customWidth="1"/>
    <col min="4870" max="4870" width="17" customWidth="1"/>
    <col min="4871" max="4871" width="17.5703125" customWidth="1"/>
    <col min="4872" max="4872" width="14.5703125" customWidth="1"/>
    <col min="5121" max="5121" width="41.5703125" customWidth="1"/>
    <col min="5122" max="5122" width="20.5703125" customWidth="1"/>
    <col min="5123" max="5123" width="9.28515625" customWidth="1"/>
    <col min="5125" max="5125" width="17.140625" customWidth="1"/>
    <col min="5126" max="5126" width="17" customWidth="1"/>
    <col min="5127" max="5127" width="17.5703125" customWidth="1"/>
    <col min="5128" max="5128" width="14.5703125" customWidth="1"/>
    <col min="5377" max="5377" width="41.5703125" customWidth="1"/>
    <col min="5378" max="5378" width="20.5703125" customWidth="1"/>
    <col min="5379" max="5379" width="9.28515625" customWidth="1"/>
    <col min="5381" max="5381" width="17.140625" customWidth="1"/>
    <col min="5382" max="5382" width="17" customWidth="1"/>
    <col min="5383" max="5383" width="17.5703125" customWidth="1"/>
    <col min="5384" max="5384" width="14.5703125" customWidth="1"/>
    <col min="5633" max="5633" width="41.5703125" customWidth="1"/>
    <col min="5634" max="5634" width="20.5703125" customWidth="1"/>
    <col min="5635" max="5635" width="9.28515625" customWidth="1"/>
    <col min="5637" max="5637" width="17.140625" customWidth="1"/>
    <col min="5638" max="5638" width="17" customWidth="1"/>
    <col min="5639" max="5639" width="17.5703125" customWidth="1"/>
    <col min="5640" max="5640" width="14.5703125" customWidth="1"/>
    <col min="5889" max="5889" width="41.5703125" customWidth="1"/>
    <col min="5890" max="5890" width="20.5703125" customWidth="1"/>
    <col min="5891" max="5891" width="9.28515625" customWidth="1"/>
    <col min="5893" max="5893" width="17.140625" customWidth="1"/>
    <col min="5894" max="5894" width="17" customWidth="1"/>
    <col min="5895" max="5895" width="17.5703125" customWidth="1"/>
    <col min="5896" max="5896" width="14.5703125" customWidth="1"/>
    <col min="6145" max="6145" width="41.5703125" customWidth="1"/>
    <col min="6146" max="6146" width="20.5703125" customWidth="1"/>
    <col min="6147" max="6147" width="9.28515625" customWidth="1"/>
    <col min="6149" max="6149" width="17.140625" customWidth="1"/>
    <col min="6150" max="6150" width="17" customWidth="1"/>
    <col min="6151" max="6151" width="17.5703125" customWidth="1"/>
    <col min="6152" max="6152" width="14.5703125" customWidth="1"/>
    <col min="6401" max="6401" width="41.5703125" customWidth="1"/>
    <col min="6402" max="6402" width="20.5703125" customWidth="1"/>
    <col min="6403" max="6403" width="9.28515625" customWidth="1"/>
    <col min="6405" max="6405" width="17.140625" customWidth="1"/>
    <col min="6406" max="6406" width="17" customWidth="1"/>
    <col min="6407" max="6407" width="17.5703125" customWidth="1"/>
    <col min="6408" max="6408" width="14.5703125" customWidth="1"/>
    <col min="6657" max="6657" width="41.5703125" customWidth="1"/>
    <col min="6658" max="6658" width="20.5703125" customWidth="1"/>
    <col min="6659" max="6659" width="9.28515625" customWidth="1"/>
    <col min="6661" max="6661" width="17.140625" customWidth="1"/>
    <col min="6662" max="6662" width="17" customWidth="1"/>
    <col min="6663" max="6663" width="17.5703125" customWidth="1"/>
    <col min="6664" max="6664" width="14.5703125" customWidth="1"/>
    <col min="6913" max="6913" width="41.5703125" customWidth="1"/>
    <col min="6914" max="6914" width="20.5703125" customWidth="1"/>
    <col min="6915" max="6915" width="9.28515625" customWidth="1"/>
    <col min="6917" max="6917" width="17.140625" customWidth="1"/>
    <col min="6918" max="6918" width="17" customWidth="1"/>
    <col min="6919" max="6919" width="17.5703125" customWidth="1"/>
    <col min="6920" max="6920" width="14.5703125" customWidth="1"/>
    <col min="7169" max="7169" width="41.5703125" customWidth="1"/>
    <col min="7170" max="7170" width="20.5703125" customWidth="1"/>
    <col min="7171" max="7171" width="9.28515625" customWidth="1"/>
    <col min="7173" max="7173" width="17.140625" customWidth="1"/>
    <col min="7174" max="7174" width="17" customWidth="1"/>
    <col min="7175" max="7175" width="17.5703125" customWidth="1"/>
    <col min="7176" max="7176" width="14.5703125" customWidth="1"/>
    <col min="7425" max="7425" width="41.5703125" customWidth="1"/>
    <col min="7426" max="7426" width="20.5703125" customWidth="1"/>
    <col min="7427" max="7427" width="9.28515625" customWidth="1"/>
    <col min="7429" max="7429" width="17.140625" customWidth="1"/>
    <col min="7430" max="7430" width="17" customWidth="1"/>
    <col min="7431" max="7431" width="17.5703125" customWidth="1"/>
    <col min="7432" max="7432" width="14.5703125" customWidth="1"/>
    <col min="7681" max="7681" width="41.5703125" customWidth="1"/>
    <col min="7682" max="7682" width="20.5703125" customWidth="1"/>
    <col min="7683" max="7683" width="9.28515625" customWidth="1"/>
    <col min="7685" max="7685" width="17.140625" customWidth="1"/>
    <col min="7686" max="7686" width="17" customWidth="1"/>
    <col min="7687" max="7687" width="17.5703125" customWidth="1"/>
    <col min="7688" max="7688" width="14.5703125" customWidth="1"/>
    <col min="7937" max="7937" width="41.5703125" customWidth="1"/>
    <col min="7938" max="7938" width="20.5703125" customWidth="1"/>
    <col min="7939" max="7939" width="9.28515625" customWidth="1"/>
    <col min="7941" max="7941" width="17.140625" customWidth="1"/>
    <col min="7942" max="7942" width="17" customWidth="1"/>
    <col min="7943" max="7943" width="17.5703125" customWidth="1"/>
    <col min="7944" max="7944" width="14.5703125" customWidth="1"/>
    <col min="8193" max="8193" width="41.5703125" customWidth="1"/>
    <col min="8194" max="8194" width="20.5703125" customWidth="1"/>
    <col min="8195" max="8195" width="9.28515625" customWidth="1"/>
    <col min="8197" max="8197" width="17.140625" customWidth="1"/>
    <col min="8198" max="8198" width="17" customWidth="1"/>
    <col min="8199" max="8199" width="17.5703125" customWidth="1"/>
    <col min="8200" max="8200" width="14.5703125" customWidth="1"/>
    <col min="8449" max="8449" width="41.5703125" customWidth="1"/>
    <col min="8450" max="8450" width="20.5703125" customWidth="1"/>
    <col min="8451" max="8451" width="9.28515625" customWidth="1"/>
    <col min="8453" max="8453" width="17.140625" customWidth="1"/>
    <col min="8454" max="8454" width="17" customWidth="1"/>
    <col min="8455" max="8455" width="17.5703125" customWidth="1"/>
    <col min="8456" max="8456" width="14.5703125" customWidth="1"/>
    <col min="8705" max="8705" width="41.5703125" customWidth="1"/>
    <col min="8706" max="8706" width="20.5703125" customWidth="1"/>
    <col min="8707" max="8707" width="9.28515625" customWidth="1"/>
    <col min="8709" max="8709" width="17.140625" customWidth="1"/>
    <col min="8710" max="8710" width="17" customWidth="1"/>
    <col min="8711" max="8711" width="17.5703125" customWidth="1"/>
    <col min="8712" max="8712" width="14.5703125" customWidth="1"/>
    <col min="8961" max="8961" width="41.5703125" customWidth="1"/>
    <col min="8962" max="8962" width="20.5703125" customWidth="1"/>
    <col min="8963" max="8963" width="9.28515625" customWidth="1"/>
    <col min="8965" max="8965" width="17.140625" customWidth="1"/>
    <col min="8966" max="8966" width="17" customWidth="1"/>
    <col min="8967" max="8967" width="17.5703125" customWidth="1"/>
    <col min="8968" max="8968" width="14.5703125" customWidth="1"/>
    <col min="9217" max="9217" width="41.5703125" customWidth="1"/>
    <col min="9218" max="9218" width="20.5703125" customWidth="1"/>
    <col min="9219" max="9219" width="9.28515625" customWidth="1"/>
    <col min="9221" max="9221" width="17.140625" customWidth="1"/>
    <col min="9222" max="9222" width="17" customWidth="1"/>
    <col min="9223" max="9223" width="17.5703125" customWidth="1"/>
    <col min="9224" max="9224" width="14.5703125" customWidth="1"/>
    <col min="9473" max="9473" width="41.5703125" customWidth="1"/>
    <col min="9474" max="9474" width="20.5703125" customWidth="1"/>
    <col min="9475" max="9475" width="9.28515625" customWidth="1"/>
    <col min="9477" max="9477" width="17.140625" customWidth="1"/>
    <col min="9478" max="9478" width="17" customWidth="1"/>
    <col min="9479" max="9479" width="17.5703125" customWidth="1"/>
    <col min="9480" max="9480" width="14.5703125" customWidth="1"/>
    <col min="9729" max="9729" width="41.5703125" customWidth="1"/>
    <col min="9730" max="9730" width="20.5703125" customWidth="1"/>
    <col min="9731" max="9731" width="9.28515625" customWidth="1"/>
    <col min="9733" max="9733" width="17.140625" customWidth="1"/>
    <col min="9734" max="9734" width="17" customWidth="1"/>
    <col min="9735" max="9735" width="17.5703125" customWidth="1"/>
    <col min="9736" max="9736" width="14.5703125" customWidth="1"/>
    <col min="9985" max="9985" width="41.5703125" customWidth="1"/>
    <col min="9986" max="9986" width="20.5703125" customWidth="1"/>
    <col min="9987" max="9987" width="9.28515625" customWidth="1"/>
    <col min="9989" max="9989" width="17.140625" customWidth="1"/>
    <col min="9990" max="9990" width="17" customWidth="1"/>
    <col min="9991" max="9991" width="17.5703125" customWidth="1"/>
    <col min="9992" max="9992" width="14.5703125" customWidth="1"/>
    <col min="10241" max="10241" width="41.5703125" customWidth="1"/>
    <col min="10242" max="10242" width="20.5703125" customWidth="1"/>
    <col min="10243" max="10243" width="9.28515625" customWidth="1"/>
    <col min="10245" max="10245" width="17.140625" customWidth="1"/>
    <col min="10246" max="10246" width="17" customWidth="1"/>
    <col min="10247" max="10247" width="17.5703125" customWidth="1"/>
    <col min="10248" max="10248" width="14.5703125" customWidth="1"/>
    <col min="10497" max="10497" width="41.5703125" customWidth="1"/>
    <col min="10498" max="10498" width="20.5703125" customWidth="1"/>
    <col min="10499" max="10499" width="9.28515625" customWidth="1"/>
    <col min="10501" max="10501" width="17.140625" customWidth="1"/>
    <col min="10502" max="10502" width="17" customWidth="1"/>
    <col min="10503" max="10503" width="17.5703125" customWidth="1"/>
    <col min="10504" max="10504" width="14.5703125" customWidth="1"/>
    <col min="10753" max="10753" width="41.5703125" customWidth="1"/>
    <col min="10754" max="10754" width="20.5703125" customWidth="1"/>
    <col min="10755" max="10755" width="9.28515625" customWidth="1"/>
    <col min="10757" max="10757" width="17.140625" customWidth="1"/>
    <col min="10758" max="10758" width="17" customWidth="1"/>
    <col min="10759" max="10759" width="17.5703125" customWidth="1"/>
    <col min="10760" max="10760" width="14.5703125" customWidth="1"/>
    <col min="11009" max="11009" width="41.5703125" customWidth="1"/>
    <col min="11010" max="11010" width="20.5703125" customWidth="1"/>
    <col min="11011" max="11011" width="9.28515625" customWidth="1"/>
    <col min="11013" max="11013" width="17.140625" customWidth="1"/>
    <col min="11014" max="11014" width="17" customWidth="1"/>
    <col min="11015" max="11015" width="17.5703125" customWidth="1"/>
    <col min="11016" max="11016" width="14.5703125" customWidth="1"/>
    <col min="11265" max="11265" width="41.5703125" customWidth="1"/>
    <col min="11266" max="11266" width="20.5703125" customWidth="1"/>
    <col min="11267" max="11267" width="9.28515625" customWidth="1"/>
    <col min="11269" max="11269" width="17.140625" customWidth="1"/>
    <col min="11270" max="11270" width="17" customWidth="1"/>
    <col min="11271" max="11271" width="17.5703125" customWidth="1"/>
    <col min="11272" max="11272" width="14.5703125" customWidth="1"/>
    <col min="11521" max="11521" width="41.5703125" customWidth="1"/>
    <col min="11522" max="11522" width="20.5703125" customWidth="1"/>
    <col min="11523" max="11523" width="9.28515625" customWidth="1"/>
    <col min="11525" max="11525" width="17.140625" customWidth="1"/>
    <col min="11526" max="11526" width="17" customWidth="1"/>
    <col min="11527" max="11527" width="17.5703125" customWidth="1"/>
    <col min="11528" max="11528" width="14.5703125" customWidth="1"/>
    <col min="11777" max="11777" width="41.5703125" customWidth="1"/>
    <col min="11778" max="11778" width="20.5703125" customWidth="1"/>
    <col min="11779" max="11779" width="9.28515625" customWidth="1"/>
    <col min="11781" max="11781" width="17.140625" customWidth="1"/>
    <col min="11782" max="11782" width="17" customWidth="1"/>
    <col min="11783" max="11783" width="17.5703125" customWidth="1"/>
    <col min="11784" max="11784" width="14.5703125" customWidth="1"/>
    <col min="12033" max="12033" width="41.5703125" customWidth="1"/>
    <col min="12034" max="12034" width="20.5703125" customWidth="1"/>
    <col min="12035" max="12035" width="9.28515625" customWidth="1"/>
    <col min="12037" max="12037" width="17.140625" customWidth="1"/>
    <col min="12038" max="12038" width="17" customWidth="1"/>
    <col min="12039" max="12039" width="17.5703125" customWidth="1"/>
    <col min="12040" max="12040" width="14.5703125" customWidth="1"/>
    <col min="12289" max="12289" width="41.5703125" customWidth="1"/>
    <col min="12290" max="12290" width="20.5703125" customWidth="1"/>
    <col min="12291" max="12291" width="9.28515625" customWidth="1"/>
    <col min="12293" max="12293" width="17.140625" customWidth="1"/>
    <col min="12294" max="12294" width="17" customWidth="1"/>
    <col min="12295" max="12295" width="17.5703125" customWidth="1"/>
    <col min="12296" max="12296" width="14.5703125" customWidth="1"/>
    <col min="12545" max="12545" width="41.5703125" customWidth="1"/>
    <col min="12546" max="12546" width="20.5703125" customWidth="1"/>
    <col min="12547" max="12547" width="9.28515625" customWidth="1"/>
    <col min="12549" max="12549" width="17.140625" customWidth="1"/>
    <col min="12550" max="12550" width="17" customWidth="1"/>
    <col min="12551" max="12551" width="17.5703125" customWidth="1"/>
    <col min="12552" max="12552" width="14.5703125" customWidth="1"/>
    <col min="12801" max="12801" width="41.5703125" customWidth="1"/>
    <col min="12802" max="12802" width="20.5703125" customWidth="1"/>
    <col min="12803" max="12803" width="9.28515625" customWidth="1"/>
    <col min="12805" max="12805" width="17.140625" customWidth="1"/>
    <col min="12806" max="12806" width="17" customWidth="1"/>
    <col min="12807" max="12807" width="17.5703125" customWidth="1"/>
    <col min="12808" max="12808" width="14.5703125" customWidth="1"/>
    <col min="13057" max="13057" width="41.5703125" customWidth="1"/>
    <col min="13058" max="13058" width="20.5703125" customWidth="1"/>
    <col min="13059" max="13059" width="9.28515625" customWidth="1"/>
    <col min="13061" max="13061" width="17.140625" customWidth="1"/>
    <col min="13062" max="13062" width="17" customWidth="1"/>
    <col min="13063" max="13063" width="17.5703125" customWidth="1"/>
    <col min="13064" max="13064" width="14.5703125" customWidth="1"/>
    <col min="13313" max="13313" width="41.5703125" customWidth="1"/>
    <col min="13314" max="13314" width="20.5703125" customWidth="1"/>
    <col min="13315" max="13315" width="9.28515625" customWidth="1"/>
    <col min="13317" max="13317" width="17.140625" customWidth="1"/>
    <col min="13318" max="13318" width="17" customWidth="1"/>
    <col min="13319" max="13319" width="17.5703125" customWidth="1"/>
    <col min="13320" max="13320" width="14.5703125" customWidth="1"/>
    <col min="13569" max="13569" width="41.5703125" customWidth="1"/>
    <col min="13570" max="13570" width="20.5703125" customWidth="1"/>
    <col min="13571" max="13571" width="9.28515625" customWidth="1"/>
    <col min="13573" max="13573" width="17.140625" customWidth="1"/>
    <col min="13574" max="13574" width="17" customWidth="1"/>
    <col min="13575" max="13575" width="17.5703125" customWidth="1"/>
    <col min="13576" max="13576" width="14.5703125" customWidth="1"/>
    <col min="13825" max="13825" width="41.5703125" customWidth="1"/>
    <col min="13826" max="13826" width="20.5703125" customWidth="1"/>
    <col min="13827" max="13827" width="9.28515625" customWidth="1"/>
    <col min="13829" max="13829" width="17.140625" customWidth="1"/>
    <col min="13830" max="13830" width="17" customWidth="1"/>
    <col min="13831" max="13831" width="17.5703125" customWidth="1"/>
    <col min="13832" max="13832" width="14.5703125" customWidth="1"/>
    <col min="14081" max="14081" width="41.5703125" customWidth="1"/>
    <col min="14082" max="14082" width="20.5703125" customWidth="1"/>
    <col min="14083" max="14083" width="9.28515625" customWidth="1"/>
    <col min="14085" max="14085" width="17.140625" customWidth="1"/>
    <col min="14086" max="14086" width="17" customWidth="1"/>
    <col min="14087" max="14087" width="17.5703125" customWidth="1"/>
    <col min="14088" max="14088" width="14.5703125" customWidth="1"/>
    <col min="14337" max="14337" width="41.5703125" customWidth="1"/>
    <col min="14338" max="14338" width="20.5703125" customWidth="1"/>
    <col min="14339" max="14339" width="9.28515625" customWidth="1"/>
    <col min="14341" max="14341" width="17.140625" customWidth="1"/>
    <col min="14342" max="14342" width="17" customWidth="1"/>
    <col min="14343" max="14343" width="17.5703125" customWidth="1"/>
    <col min="14344" max="14344" width="14.5703125" customWidth="1"/>
    <col min="14593" max="14593" width="41.5703125" customWidth="1"/>
    <col min="14594" max="14594" width="20.5703125" customWidth="1"/>
    <col min="14595" max="14595" width="9.28515625" customWidth="1"/>
    <col min="14597" max="14597" width="17.140625" customWidth="1"/>
    <col min="14598" max="14598" width="17" customWidth="1"/>
    <col min="14599" max="14599" width="17.5703125" customWidth="1"/>
    <col min="14600" max="14600" width="14.5703125" customWidth="1"/>
    <col min="14849" max="14849" width="41.5703125" customWidth="1"/>
    <col min="14850" max="14850" width="20.5703125" customWidth="1"/>
    <col min="14851" max="14851" width="9.28515625" customWidth="1"/>
    <col min="14853" max="14853" width="17.140625" customWidth="1"/>
    <col min="14854" max="14854" width="17" customWidth="1"/>
    <col min="14855" max="14855" width="17.5703125" customWidth="1"/>
    <col min="14856" max="14856" width="14.5703125" customWidth="1"/>
    <col min="15105" max="15105" width="41.5703125" customWidth="1"/>
    <col min="15106" max="15106" width="20.5703125" customWidth="1"/>
    <col min="15107" max="15107" width="9.28515625" customWidth="1"/>
    <col min="15109" max="15109" width="17.140625" customWidth="1"/>
    <col min="15110" max="15110" width="17" customWidth="1"/>
    <col min="15111" max="15111" width="17.5703125" customWidth="1"/>
    <col min="15112" max="15112" width="14.5703125" customWidth="1"/>
    <col min="15361" max="15361" width="41.5703125" customWidth="1"/>
    <col min="15362" max="15362" width="20.5703125" customWidth="1"/>
    <col min="15363" max="15363" width="9.28515625" customWidth="1"/>
    <col min="15365" max="15365" width="17.140625" customWidth="1"/>
    <col min="15366" max="15366" width="17" customWidth="1"/>
    <col min="15367" max="15367" width="17.5703125" customWidth="1"/>
    <col min="15368" max="15368" width="14.5703125" customWidth="1"/>
    <col min="15617" max="15617" width="41.5703125" customWidth="1"/>
    <col min="15618" max="15618" width="20.5703125" customWidth="1"/>
    <col min="15619" max="15619" width="9.28515625" customWidth="1"/>
    <col min="15621" max="15621" width="17.140625" customWidth="1"/>
    <col min="15622" max="15622" width="17" customWidth="1"/>
    <col min="15623" max="15623" width="17.5703125" customWidth="1"/>
    <col min="15624" max="15624" width="14.5703125" customWidth="1"/>
    <col min="15873" max="15873" width="41.5703125" customWidth="1"/>
    <col min="15874" max="15874" width="20.5703125" customWidth="1"/>
    <col min="15875" max="15875" width="9.28515625" customWidth="1"/>
    <col min="15877" max="15877" width="17.140625" customWidth="1"/>
    <col min="15878" max="15878" width="17" customWidth="1"/>
    <col min="15879" max="15879" width="17.5703125" customWidth="1"/>
    <col min="15880" max="15880" width="14.5703125" customWidth="1"/>
    <col min="16129" max="16129" width="41.5703125" customWidth="1"/>
    <col min="16130" max="16130" width="20.5703125" customWidth="1"/>
    <col min="16131" max="16131" width="9.28515625" customWidth="1"/>
    <col min="16133" max="16133" width="17.140625" customWidth="1"/>
    <col min="16134" max="16134" width="17" customWidth="1"/>
    <col min="16135" max="16135" width="17.5703125" customWidth="1"/>
    <col min="16136" max="16136" width="14.5703125" customWidth="1"/>
  </cols>
  <sheetData>
    <row r="1" spans="1:10" ht="18" x14ac:dyDescent="0.25">
      <c r="A1" s="20" t="s">
        <v>75</v>
      </c>
      <c r="B1" s="21" t="s">
        <v>76</v>
      </c>
      <c r="C1" s="22" t="s">
        <v>77</v>
      </c>
      <c r="D1" s="23" t="s">
        <v>78</v>
      </c>
      <c r="E1" s="23" t="s">
        <v>79</v>
      </c>
      <c r="F1" s="24" t="s">
        <v>80</v>
      </c>
      <c r="G1" s="23" t="s">
        <v>81</v>
      </c>
      <c r="H1" s="99" t="s">
        <v>240</v>
      </c>
      <c r="J1" t="s">
        <v>162</v>
      </c>
    </row>
    <row r="2" spans="1:10" ht="18" x14ac:dyDescent="0.25">
      <c r="A2" s="25" t="s">
        <v>82</v>
      </c>
      <c r="B2" s="26"/>
      <c r="C2" s="26"/>
      <c r="D2" s="27"/>
      <c r="E2" s="27"/>
      <c r="F2" s="28">
        <v>0.24</v>
      </c>
      <c r="G2" s="29" t="s">
        <v>83</v>
      </c>
      <c r="H2" s="30"/>
      <c r="I2" s="30"/>
      <c r="J2" s="30"/>
    </row>
    <row r="3" spans="1:10" x14ac:dyDescent="0.25">
      <c r="A3" s="6" t="s">
        <v>84</v>
      </c>
      <c r="B3" s="55" t="s">
        <v>203</v>
      </c>
      <c r="C3">
        <v>213</v>
      </c>
      <c r="D3" s="8">
        <v>20</v>
      </c>
      <c r="E3" s="8">
        <f>+D3*C3</f>
        <v>4260</v>
      </c>
      <c r="F3" s="8">
        <f>+E3*F2</f>
        <v>1022.4</v>
      </c>
      <c r="G3" s="8">
        <f>+E3+F3</f>
        <v>5282.4</v>
      </c>
      <c r="H3">
        <v>204</v>
      </c>
      <c r="I3" s="11"/>
      <c r="J3">
        <v>150</v>
      </c>
    </row>
    <row r="4" spans="1:10" x14ac:dyDescent="0.25">
      <c r="A4" s="6" t="s">
        <v>85</v>
      </c>
      <c r="B4" s="55" t="s">
        <v>204</v>
      </c>
      <c r="C4">
        <v>219</v>
      </c>
      <c r="D4" s="8">
        <v>20</v>
      </c>
      <c r="E4" s="8">
        <f>+D4*C4</f>
        <v>4380</v>
      </c>
      <c r="F4" s="8">
        <f>+E4*F2</f>
        <v>1051.2</v>
      </c>
      <c r="G4" s="8">
        <f>+E4+F4</f>
        <v>5431.2</v>
      </c>
      <c r="H4">
        <v>195</v>
      </c>
      <c r="J4">
        <v>190</v>
      </c>
    </row>
    <row r="5" spans="1:10" x14ac:dyDescent="0.25">
      <c r="A5" s="6" t="s">
        <v>86</v>
      </c>
      <c r="B5" s="48" t="s">
        <v>203</v>
      </c>
      <c r="C5">
        <v>119</v>
      </c>
      <c r="D5" s="8">
        <v>20</v>
      </c>
      <c r="E5" s="8">
        <f>+D5*C5</f>
        <v>2380</v>
      </c>
      <c r="F5" s="8">
        <f>+E5*F2</f>
        <v>571.19999999999993</v>
      </c>
      <c r="G5" s="8">
        <f>+E5+F5</f>
        <v>2951.2</v>
      </c>
      <c r="H5" s="6">
        <v>150</v>
      </c>
      <c r="I5" s="6"/>
      <c r="J5">
        <v>100</v>
      </c>
    </row>
    <row r="6" spans="1:10" x14ac:dyDescent="0.25">
      <c r="A6" s="31" t="s">
        <v>87</v>
      </c>
      <c r="B6" s="138"/>
      <c r="C6">
        <v>0</v>
      </c>
      <c r="D6" s="8"/>
      <c r="E6" s="36">
        <f>+D6*C6</f>
        <v>0</v>
      </c>
      <c r="F6" s="36">
        <f>+E6*F2</f>
        <v>0</v>
      </c>
      <c r="G6" s="8">
        <f>+E6+F6</f>
        <v>0</v>
      </c>
      <c r="I6" s="11"/>
    </row>
    <row r="7" spans="1:10" ht="18" x14ac:dyDescent="0.25">
      <c r="A7" s="20" t="s">
        <v>88</v>
      </c>
      <c r="B7" s="32"/>
      <c r="C7" s="32"/>
      <c r="D7" s="33"/>
      <c r="E7" s="34">
        <f>SUM(E3:E6)</f>
        <v>11020</v>
      </c>
      <c r="F7" s="34">
        <f>SUM(F3:F6)</f>
        <v>2644.7999999999997</v>
      </c>
      <c r="G7" s="34">
        <f>SUM(G3:G6)</f>
        <v>13664.8</v>
      </c>
    </row>
    <row r="8" spans="1:10" x14ac:dyDescent="0.25">
      <c r="A8" s="6"/>
      <c r="D8" s="8"/>
      <c r="E8" s="15"/>
      <c r="F8" s="15"/>
    </row>
    <row r="9" spans="1:10" ht="18" x14ac:dyDescent="0.25">
      <c r="A9" s="25" t="s">
        <v>89</v>
      </c>
      <c r="D9" s="8"/>
      <c r="E9" s="15"/>
      <c r="F9" s="35"/>
      <c r="G9" s="35"/>
    </row>
    <row r="10" spans="1:10" x14ac:dyDescent="0.25">
      <c r="A10" s="6" t="s">
        <v>90</v>
      </c>
      <c r="B10" s="14" t="s">
        <v>202</v>
      </c>
      <c r="C10">
        <v>272</v>
      </c>
      <c r="D10" s="8">
        <v>22</v>
      </c>
      <c r="E10" s="36">
        <f>+C10*D10</f>
        <v>5984</v>
      </c>
      <c r="F10" s="8">
        <f>+E10*F2</f>
        <v>1436.1599999999999</v>
      </c>
      <c r="G10" s="8">
        <f>+E10+F10</f>
        <v>7420.16</v>
      </c>
      <c r="H10" s="5">
        <v>298</v>
      </c>
    </row>
    <row r="11" spans="1:10" x14ac:dyDescent="0.25">
      <c r="A11" s="6" t="s">
        <v>91</v>
      </c>
      <c r="D11" s="8"/>
      <c r="E11" s="15"/>
      <c r="F11" s="8"/>
    </row>
    <row r="12" spans="1:10" x14ac:dyDescent="0.25">
      <c r="A12" s="6"/>
      <c r="D12" s="8"/>
      <c r="E12" s="15"/>
      <c r="F12" s="8"/>
      <c r="H12" s="30"/>
    </row>
    <row r="13" spans="1:10" x14ac:dyDescent="0.25">
      <c r="A13" s="6" t="s">
        <v>92</v>
      </c>
      <c r="B13" s="14" t="s">
        <v>370</v>
      </c>
      <c r="C13">
        <v>272</v>
      </c>
      <c r="D13" s="8">
        <v>22</v>
      </c>
      <c r="E13" s="8">
        <f>+C13*D13</f>
        <v>5984</v>
      </c>
      <c r="F13" s="8">
        <f>+E13*F2</f>
        <v>1436.1599999999999</v>
      </c>
      <c r="G13" s="8">
        <f>+E13+F13</f>
        <v>7420.16</v>
      </c>
      <c r="H13">
        <v>291</v>
      </c>
    </row>
    <row r="14" spans="1:10" x14ac:dyDescent="0.25">
      <c r="A14" s="6" t="s">
        <v>91</v>
      </c>
      <c r="B14" s="14"/>
      <c r="D14" s="8"/>
      <c r="E14" s="15"/>
      <c r="F14" s="8"/>
      <c r="I14" s="11">
        <f>+D10+D13*1.23</f>
        <v>49.06</v>
      </c>
    </row>
    <row r="15" spans="1:10" x14ac:dyDescent="0.25">
      <c r="A15" s="6"/>
      <c r="D15" s="8"/>
      <c r="E15" s="15"/>
      <c r="F15" s="15"/>
      <c r="G15" s="15"/>
      <c r="H15" s="30"/>
    </row>
    <row r="16" spans="1:10" ht="18" x14ac:dyDescent="0.25">
      <c r="A16" s="20" t="s">
        <v>93</v>
      </c>
      <c r="B16" s="32"/>
      <c r="C16" s="32"/>
      <c r="D16" s="33"/>
      <c r="E16" s="34">
        <f>SUM(E10:E14)</f>
        <v>11968</v>
      </c>
      <c r="F16" s="34">
        <f>SUM(F10:F14)</f>
        <v>2872.3199999999997</v>
      </c>
      <c r="G16" s="34">
        <f>SUM(G10:G14)</f>
        <v>14840.32</v>
      </c>
    </row>
    <row r="17" spans="1:9" ht="18" x14ac:dyDescent="0.25">
      <c r="A17" s="25"/>
      <c r="B17" s="37"/>
      <c r="C17" s="37"/>
      <c r="D17" s="38"/>
      <c r="E17" s="39"/>
      <c r="F17" s="39"/>
    </row>
    <row r="18" spans="1:9" ht="20.25" x14ac:dyDescent="0.3">
      <c r="A18" s="1" t="s">
        <v>94</v>
      </c>
      <c r="B18" s="31" t="s">
        <v>95</v>
      </c>
      <c r="D18" s="8"/>
      <c r="E18" s="8"/>
      <c r="F18" s="8"/>
    </row>
    <row r="19" spans="1:9" x14ac:dyDescent="0.25">
      <c r="A19" s="6" t="s">
        <v>228</v>
      </c>
      <c r="B19" t="s">
        <v>97</v>
      </c>
      <c r="C19">
        <v>13</v>
      </c>
      <c r="D19" s="8">
        <v>80</v>
      </c>
      <c r="E19" s="8">
        <f>+D19*C19</f>
        <v>1040</v>
      </c>
      <c r="F19" s="8">
        <f>+E19*F2</f>
        <v>249.6</v>
      </c>
      <c r="G19" s="8">
        <f>+E19+F19</f>
        <v>1289.5999999999999</v>
      </c>
      <c r="H19">
        <f>128/8</f>
        <v>16</v>
      </c>
      <c r="I19">
        <f>+H19*C19</f>
        <v>208</v>
      </c>
    </row>
    <row r="20" spans="1:9" x14ac:dyDescent="0.25">
      <c r="A20" s="6"/>
      <c r="B20" t="s">
        <v>98</v>
      </c>
      <c r="C20">
        <v>3</v>
      </c>
      <c r="D20" s="8">
        <v>80</v>
      </c>
      <c r="E20" s="8">
        <f>+D20*C20</f>
        <v>240</v>
      </c>
      <c r="F20" s="8">
        <f>+E20*F2</f>
        <v>57.599999999999994</v>
      </c>
      <c r="G20" s="8">
        <f>+E20+F20</f>
        <v>297.60000000000002</v>
      </c>
    </row>
    <row r="21" spans="1:9" x14ac:dyDescent="0.25">
      <c r="A21" s="6"/>
      <c r="B21" t="s">
        <v>99</v>
      </c>
      <c r="C21">
        <v>2</v>
      </c>
      <c r="D21" s="92">
        <v>40</v>
      </c>
      <c r="E21" s="8">
        <f>+D21*C21</f>
        <v>80</v>
      </c>
      <c r="F21" s="8">
        <f>+E21*F2</f>
        <v>19.2</v>
      </c>
      <c r="G21" s="8">
        <f>+E21+F21</f>
        <v>99.2</v>
      </c>
    </row>
    <row r="22" spans="1:9" x14ac:dyDescent="0.25">
      <c r="A22" s="6" t="s">
        <v>91</v>
      </c>
      <c r="B22" s="30" t="s">
        <v>100</v>
      </c>
      <c r="D22" s="8"/>
      <c r="E22" s="15">
        <f>SUM(E19:E21)</f>
        <v>1360</v>
      </c>
      <c r="F22" s="8">
        <f>SUM(F19:F21)</f>
        <v>326.39999999999998</v>
      </c>
      <c r="G22" s="15">
        <f>SUM(G19:G21)</f>
        <v>1686.3999999999999</v>
      </c>
    </row>
    <row r="23" spans="1:9" x14ac:dyDescent="0.25">
      <c r="A23" s="6"/>
      <c r="D23" s="8"/>
      <c r="E23" s="36"/>
      <c r="F23" s="8">
        <f>+E23*0.2</f>
        <v>0</v>
      </c>
    </row>
    <row r="24" spans="1:9" x14ac:dyDescent="0.25">
      <c r="A24" s="6" t="s">
        <v>222</v>
      </c>
      <c r="B24" t="s">
        <v>373</v>
      </c>
      <c r="C24">
        <v>125</v>
      </c>
      <c r="D24" s="8">
        <v>5</v>
      </c>
      <c r="E24" s="36">
        <f>+D24*C24</f>
        <v>625</v>
      </c>
      <c r="F24" s="8">
        <f>+E24*F2</f>
        <v>150</v>
      </c>
      <c r="G24" s="8">
        <f>+E24+F24</f>
        <v>775</v>
      </c>
    </row>
    <row r="25" spans="1:9" x14ac:dyDescent="0.25">
      <c r="A25" s="6" t="s">
        <v>103</v>
      </c>
      <c r="B25" t="s">
        <v>374</v>
      </c>
      <c r="C25">
        <v>125</v>
      </c>
      <c r="D25" s="8">
        <v>4</v>
      </c>
      <c r="E25" s="36">
        <f>+C25*D25</f>
        <v>500</v>
      </c>
      <c r="F25" s="8">
        <f>+E25*F2</f>
        <v>120</v>
      </c>
      <c r="G25" s="8">
        <f>+E25+F25</f>
        <v>620</v>
      </c>
    </row>
    <row r="26" spans="1:9" x14ac:dyDescent="0.25">
      <c r="A26" s="6"/>
      <c r="C26">
        <v>5</v>
      </c>
      <c r="D26" s="8">
        <v>80</v>
      </c>
      <c r="E26" s="36">
        <f>+D26*C26</f>
        <v>400</v>
      </c>
      <c r="F26" s="8">
        <f>+E26*F2</f>
        <v>96</v>
      </c>
      <c r="G26" s="8">
        <f>+E26+F26</f>
        <v>496</v>
      </c>
    </row>
    <row r="27" spans="1:9" x14ac:dyDescent="0.25">
      <c r="A27" s="6"/>
      <c r="D27" s="8"/>
      <c r="E27" s="15">
        <f>+E24+E25</f>
        <v>1125</v>
      </c>
      <c r="F27" s="8">
        <f>SUM(F23:F25)</f>
        <v>270</v>
      </c>
      <c r="G27" s="15">
        <f>+G24+G25+G26</f>
        <v>1891</v>
      </c>
    </row>
    <row r="28" spans="1:9" x14ac:dyDescent="0.25">
      <c r="A28" s="6"/>
      <c r="D28" s="8"/>
      <c r="E28" s="15"/>
      <c r="F28" s="8">
        <f>+E28*0.2</f>
        <v>0</v>
      </c>
    </row>
    <row r="29" spans="1:9" x14ac:dyDescent="0.25">
      <c r="A29" s="6" t="s">
        <v>223</v>
      </c>
      <c r="B29" t="s">
        <v>106</v>
      </c>
      <c r="C29">
        <v>13</v>
      </c>
      <c r="D29" s="8">
        <v>80</v>
      </c>
      <c r="E29" s="8">
        <f>+D29*C29</f>
        <v>1040</v>
      </c>
      <c r="F29" s="8">
        <f>+E29*F2</f>
        <v>249.6</v>
      </c>
      <c r="G29" s="8">
        <f>+E29+F29</f>
        <v>1289.5999999999999</v>
      </c>
    </row>
    <row r="30" spans="1:9" x14ac:dyDescent="0.25">
      <c r="A30" s="6"/>
      <c r="B30" t="s">
        <v>98</v>
      </c>
      <c r="C30">
        <v>3</v>
      </c>
      <c r="D30" s="8">
        <v>80</v>
      </c>
      <c r="E30" s="8">
        <f>+D30*C30</f>
        <v>240</v>
      </c>
      <c r="F30" s="8">
        <f>+E30*F2</f>
        <v>57.599999999999994</v>
      </c>
      <c r="G30" s="8">
        <f>+E30+F30</f>
        <v>297.60000000000002</v>
      </c>
    </row>
    <row r="31" spans="1:9" x14ac:dyDescent="0.25">
      <c r="A31" s="6"/>
      <c r="B31" t="s">
        <v>107</v>
      </c>
      <c r="C31">
        <v>2</v>
      </c>
      <c r="D31" s="92">
        <v>40</v>
      </c>
      <c r="E31" s="8">
        <f>+D31*C31</f>
        <v>80</v>
      </c>
      <c r="F31" s="8">
        <f>+E31*F2</f>
        <v>19.2</v>
      </c>
      <c r="G31" s="8">
        <f>+E31+F31</f>
        <v>99.2</v>
      </c>
    </row>
    <row r="32" spans="1:9" x14ac:dyDescent="0.25">
      <c r="A32" s="6" t="s">
        <v>91</v>
      </c>
      <c r="D32" s="8"/>
      <c r="E32" s="15">
        <f>SUM(E29:E31)</f>
        <v>1360</v>
      </c>
      <c r="F32" s="8">
        <f>SUM(F28:F31)</f>
        <v>326.39999999999998</v>
      </c>
      <c r="G32" s="15">
        <f>SUM(G29:G31)</f>
        <v>1686.3999999999999</v>
      </c>
    </row>
    <row r="33" spans="1:7" x14ac:dyDescent="0.25">
      <c r="A33" s="6"/>
      <c r="D33" s="8"/>
      <c r="E33" s="15"/>
      <c r="F33" s="8">
        <f>+E33*0.2</f>
        <v>0</v>
      </c>
    </row>
    <row r="34" spans="1:7" x14ac:dyDescent="0.25">
      <c r="A34" s="6" t="s">
        <v>224</v>
      </c>
      <c r="B34" t="s">
        <v>373</v>
      </c>
      <c r="C34">
        <v>125</v>
      </c>
      <c r="D34" s="8">
        <v>5</v>
      </c>
      <c r="E34" s="36">
        <f>+D34*C34</f>
        <v>625</v>
      </c>
      <c r="F34" s="8">
        <f>+E34*F2</f>
        <v>150</v>
      </c>
      <c r="G34" s="8">
        <f>+E34+F34</f>
        <v>775</v>
      </c>
    </row>
    <row r="35" spans="1:7" x14ac:dyDescent="0.25">
      <c r="A35" s="6" t="s">
        <v>109</v>
      </c>
      <c r="B35" t="s">
        <v>374</v>
      </c>
      <c r="C35">
        <v>125</v>
      </c>
      <c r="D35" s="8">
        <v>4</v>
      </c>
      <c r="E35" s="36">
        <f>+C35*D35</f>
        <v>500</v>
      </c>
      <c r="F35" s="8">
        <f>+E35*F2</f>
        <v>120</v>
      </c>
      <c r="G35" s="8">
        <f>+E35+F35</f>
        <v>620</v>
      </c>
    </row>
    <row r="36" spans="1:7" x14ac:dyDescent="0.25">
      <c r="A36" s="6"/>
      <c r="C36">
        <v>5</v>
      </c>
      <c r="D36" s="8">
        <v>80</v>
      </c>
      <c r="E36" s="36">
        <f>+D36*C36</f>
        <v>400</v>
      </c>
      <c r="F36" s="8">
        <f>+E36*F12</f>
        <v>0</v>
      </c>
      <c r="G36" s="8">
        <f>+E36+F36</f>
        <v>400</v>
      </c>
    </row>
    <row r="37" spans="1:7" x14ac:dyDescent="0.25">
      <c r="A37" s="6"/>
      <c r="D37" s="8"/>
      <c r="E37" s="15">
        <f>+E34+E35</f>
        <v>1125</v>
      </c>
      <c r="F37" s="8">
        <f>SUM(F33:F35)</f>
        <v>270</v>
      </c>
      <c r="G37" s="15">
        <f>+G34+G35+G36</f>
        <v>1795</v>
      </c>
    </row>
    <row r="38" spans="1:7" x14ac:dyDescent="0.25">
      <c r="A38" s="6"/>
      <c r="D38" s="8"/>
      <c r="E38" s="36"/>
      <c r="F38" s="36"/>
    </row>
    <row r="39" spans="1:7" ht="18" x14ac:dyDescent="0.25">
      <c r="A39" s="20" t="s">
        <v>110</v>
      </c>
      <c r="B39" s="32"/>
      <c r="C39" s="32"/>
      <c r="D39" s="33"/>
      <c r="E39" s="34">
        <f>+E22+E27+E32+E37</f>
        <v>4970</v>
      </c>
      <c r="F39" s="34">
        <f>+F22+F27+F32+F37</f>
        <v>1192.8</v>
      </c>
      <c r="G39" s="34">
        <f>+G22+G27+G32+G37</f>
        <v>7058.7999999999993</v>
      </c>
    </row>
    <row r="40" spans="1:7" x14ac:dyDescent="0.25">
      <c r="A40" s="6"/>
      <c r="D40" s="8"/>
      <c r="E40" s="15"/>
      <c r="F40" s="15"/>
    </row>
    <row r="41" spans="1:7" ht="18" x14ac:dyDescent="0.25">
      <c r="A41" s="25" t="s">
        <v>111</v>
      </c>
      <c r="D41" s="15" t="s">
        <v>112</v>
      </c>
      <c r="E41" s="15"/>
      <c r="F41" s="15"/>
    </row>
    <row r="42" spans="1:7" x14ac:dyDescent="0.25">
      <c r="A42" s="6" t="s">
        <v>113</v>
      </c>
      <c r="B42" s="14"/>
      <c r="D42" s="8"/>
      <c r="E42" s="8"/>
      <c r="F42" s="8"/>
    </row>
    <row r="43" spans="1:7" x14ac:dyDescent="0.25">
      <c r="A43" s="6"/>
      <c r="D43" s="8"/>
      <c r="E43" s="8"/>
      <c r="F43" s="8"/>
    </row>
    <row r="44" spans="1:7" ht="18" x14ac:dyDescent="0.25">
      <c r="A44" s="148" t="s">
        <v>177</v>
      </c>
      <c r="B44" s="148"/>
      <c r="C44" s="148"/>
      <c r="D44" s="148"/>
      <c r="E44" s="148"/>
      <c r="F44" s="8"/>
    </row>
    <row r="45" spans="1:7" x14ac:dyDescent="0.25">
      <c r="A45" s="6" t="s">
        <v>114</v>
      </c>
      <c r="D45" s="8"/>
      <c r="E45" s="8"/>
      <c r="F45" s="8"/>
    </row>
    <row r="46" spans="1:7" x14ac:dyDescent="0.25">
      <c r="A46" s="6"/>
      <c r="D46" s="8"/>
      <c r="E46" s="8"/>
      <c r="F46" s="8"/>
    </row>
    <row r="47" spans="1:7" x14ac:dyDescent="0.25">
      <c r="A47" s="6"/>
      <c r="D47" s="8"/>
      <c r="E47" s="8"/>
      <c r="F47" s="8"/>
    </row>
    <row r="48" spans="1:7" x14ac:dyDescent="0.25">
      <c r="A48" s="6"/>
      <c r="D48" s="8"/>
      <c r="E48" s="8"/>
      <c r="F48" s="8"/>
    </row>
    <row r="49" spans="1:12" ht="18" x14ac:dyDescent="0.25">
      <c r="A49" s="6" t="s">
        <v>115</v>
      </c>
      <c r="B49" s="40" t="s">
        <v>116</v>
      </c>
      <c r="C49" s="25"/>
      <c r="D49" s="39"/>
      <c r="E49" s="39">
        <f>SUM(E42:E48)</f>
        <v>0</v>
      </c>
      <c r="F49" s="15"/>
    </row>
    <row r="50" spans="1:12" x14ac:dyDescent="0.25">
      <c r="A50" s="6"/>
      <c r="D50" s="8"/>
      <c r="E50" s="15"/>
      <c r="F50" s="15"/>
    </row>
    <row r="51" spans="1:12" ht="18" x14ac:dyDescent="0.25">
      <c r="A51" s="20" t="s">
        <v>117</v>
      </c>
      <c r="B51" s="20"/>
      <c r="C51" s="20"/>
      <c r="D51" s="34"/>
      <c r="E51" s="34">
        <f>SUM(E49:E50)</f>
        <v>0</v>
      </c>
      <c r="F51" s="34"/>
      <c r="G51" s="34">
        <v>0</v>
      </c>
    </row>
    <row r="52" spans="1:12" ht="12.75" customHeight="1" x14ac:dyDescent="0.25">
      <c r="A52" s="25"/>
      <c r="B52" s="25"/>
      <c r="C52" s="25"/>
      <c r="D52" s="39"/>
      <c r="E52" s="39"/>
      <c r="F52" s="39"/>
      <c r="G52" s="27"/>
    </row>
    <row r="53" spans="1:12" x14ac:dyDescent="0.25">
      <c r="A53" s="6"/>
      <c r="D53" s="8"/>
      <c r="E53" s="15"/>
      <c r="F53" s="15"/>
    </row>
    <row r="54" spans="1:12" x14ac:dyDescent="0.25">
      <c r="B54" s="6" t="s">
        <v>118</v>
      </c>
      <c r="D54" s="8"/>
      <c r="E54" s="15"/>
      <c r="F54" s="15"/>
    </row>
    <row r="55" spans="1:12" x14ac:dyDescent="0.25">
      <c r="A55" s="6"/>
      <c r="B55" s="6"/>
      <c r="D55" s="8"/>
      <c r="E55" s="15"/>
      <c r="F55" s="15"/>
    </row>
    <row r="56" spans="1:12" ht="18" x14ac:dyDescent="0.25">
      <c r="A56" s="25" t="s">
        <v>375</v>
      </c>
      <c r="B56" s="37"/>
      <c r="C56" s="37"/>
      <c r="D56" s="38"/>
      <c r="E56" s="39">
        <f>+E7+E16+E39</f>
        <v>27958</v>
      </c>
      <c r="F56" s="39">
        <f>+F7+F16+F39</f>
        <v>6709.9199999999992</v>
      </c>
      <c r="G56" s="39">
        <f>+G7+G16+G39</f>
        <v>35563.919999999998</v>
      </c>
    </row>
    <row r="57" spans="1:12" x14ac:dyDescent="0.25">
      <c r="A57" s="6"/>
      <c r="D57" s="8"/>
      <c r="E57" s="8"/>
      <c r="F57" s="8"/>
    </row>
    <row r="58" spans="1:12" x14ac:dyDescent="0.25">
      <c r="F58" s="11"/>
    </row>
    <row r="59" spans="1:12" ht="21.75" customHeight="1" x14ac:dyDescent="0.25">
      <c r="A59" s="25" t="s">
        <v>120</v>
      </c>
      <c r="B59" s="25"/>
      <c r="C59" s="25"/>
      <c r="D59" s="39"/>
      <c r="E59" s="39"/>
      <c r="F59" s="39"/>
      <c r="G59"/>
    </row>
    <row r="60" spans="1:12" ht="12.75" customHeight="1" x14ac:dyDescent="0.25">
      <c r="A60" s="6" t="s">
        <v>121</v>
      </c>
      <c r="C60" s="25"/>
      <c r="D60" s="50" t="s">
        <v>78</v>
      </c>
      <c r="E60" s="136" t="s">
        <v>79</v>
      </c>
      <c r="F60" s="136" t="s">
        <v>80</v>
      </c>
      <c r="G60" s="137" t="s">
        <v>81</v>
      </c>
      <c r="H60" s="30"/>
      <c r="I60" s="36"/>
      <c r="J60" s="14"/>
      <c r="K60" s="14"/>
      <c r="L60" s="30"/>
    </row>
    <row r="61" spans="1:12" ht="12.75" customHeight="1" x14ac:dyDescent="0.25">
      <c r="A61" s="6" t="s">
        <v>350</v>
      </c>
      <c r="C61" s="25"/>
      <c r="D61" s="8"/>
      <c r="E61" s="35">
        <f>+D61</f>
        <v>0</v>
      </c>
      <c r="F61" s="35"/>
      <c r="G61" s="93">
        <f>+E61</f>
        <v>0</v>
      </c>
      <c r="H61" s="30"/>
      <c r="I61" s="36"/>
      <c r="J61" s="14"/>
      <c r="K61" s="14"/>
      <c r="L61" s="30"/>
    </row>
    <row r="62" spans="1:12" ht="12.75" customHeight="1" x14ac:dyDescent="0.25">
      <c r="A62" s="6"/>
      <c r="C62" s="25"/>
      <c r="D62" s="8"/>
      <c r="E62" s="35"/>
      <c r="F62" s="35"/>
      <c r="G62" s="93">
        <f>+E62</f>
        <v>0</v>
      </c>
      <c r="H62" s="30"/>
      <c r="I62" s="36"/>
      <c r="J62" s="14"/>
      <c r="K62" s="14"/>
      <c r="L62" s="30"/>
    </row>
    <row r="63" spans="1:12" x14ac:dyDescent="0.25">
      <c r="A63" s="6"/>
      <c r="B63" t="s">
        <v>378</v>
      </c>
      <c r="C63">
        <v>180</v>
      </c>
      <c r="D63" s="8">
        <v>40</v>
      </c>
      <c r="E63" s="15">
        <f>+C63*D63</f>
        <v>7200</v>
      </c>
      <c r="F63" s="36">
        <f>+E63*F2</f>
        <v>1728</v>
      </c>
      <c r="G63" s="13">
        <f>+E63+F63</f>
        <v>8928</v>
      </c>
      <c r="I63" s="49"/>
      <c r="J63" s="48"/>
      <c r="K63" s="48"/>
    </row>
    <row r="64" spans="1:12" x14ac:dyDescent="0.25">
      <c r="A64" s="6"/>
      <c r="B64" s="14"/>
      <c r="D64" s="8"/>
      <c r="E64" s="15"/>
      <c r="F64" s="36"/>
      <c r="G64" s="11"/>
      <c r="I64" s="49"/>
      <c r="J64" s="48"/>
      <c r="K64" s="48"/>
    </row>
    <row r="65" spans="1:11" x14ac:dyDescent="0.25">
      <c r="A65" s="6"/>
      <c r="B65" s="14" t="s">
        <v>122</v>
      </c>
      <c r="C65">
        <v>180</v>
      </c>
      <c r="D65" s="8">
        <v>8</v>
      </c>
      <c r="E65" s="8">
        <f>+D65*C65</f>
        <v>1440</v>
      </c>
      <c r="F65" s="15">
        <f>+E65*0.25</f>
        <v>360</v>
      </c>
      <c r="G65" s="8">
        <f>+E65+F65</f>
        <v>1800</v>
      </c>
      <c r="I65" s="49"/>
      <c r="J65" s="48"/>
      <c r="K65" s="48"/>
    </row>
    <row r="66" spans="1:11" x14ac:dyDescent="0.25">
      <c r="A66" s="6"/>
      <c r="B66" s="14" t="s">
        <v>123</v>
      </c>
      <c r="C66">
        <v>1</v>
      </c>
      <c r="D66" s="8">
        <v>475</v>
      </c>
      <c r="E66" s="8">
        <f>+D66*C66</f>
        <v>475</v>
      </c>
      <c r="F66" s="15">
        <v>0</v>
      </c>
      <c r="G66" s="8">
        <f>+E66+F66</f>
        <v>475</v>
      </c>
      <c r="I66" s="49"/>
      <c r="J66" s="48"/>
      <c r="K66" s="48"/>
    </row>
    <row r="67" spans="1:11" x14ac:dyDescent="0.25">
      <c r="A67" s="6"/>
      <c r="B67" s="14" t="s">
        <v>377</v>
      </c>
      <c r="C67">
        <v>1</v>
      </c>
      <c r="D67" s="8">
        <v>150</v>
      </c>
      <c r="E67" s="8">
        <f>+D67*C67</f>
        <v>150</v>
      </c>
      <c r="F67" s="15">
        <f>+E67*0.25</f>
        <v>37.5</v>
      </c>
      <c r="G67" s="8">
        <f>+E67+F67</f>
        <v>187.5</v>
      </c>
      <c r="I67" s="48"/>
      <c r="J67" s="48"/>
      <c r="K67" s="48"/>
    </row>
    <row r="68" spans="1:11" ht="18" x14ac:dyDescent="0.25">
      <c r="A68" s="25" t="s">
        <v>124</v>
      </c>
      <c r="B68" s="37"/>
      <c r="C68" s="37"/>
      <c r="D68" s="38"/>
      <c r="E68" s="39">
        <f>+E63+E65</f>
        <v>8640</v>
      </c>
      <c r="F68" s="39">
        <f>+F63+F65</f>
        <v>2088</v>
      </c>
      <c r="G68" s="39">
        <f>SUM(G63:G67)</f>
        <v>11390.5</v>
      </c>
      <c r="H68" s="11"/>
      <c r="I68" s="11"/>
    </row>
    <row r="70" spans="1:11" s="25" customFormat="1" ht="18" x14ac:dyDescent="0.25">
      <c r="A70" s="25" t="s">
        <v>376</v>
      </c>
      <c r="E70" s="41">
        <f>+E56+E68</f>
        <v>36598</v>
      </c>
      <c r="F70" s="41">
        <f>+F56+F68</f>
        <v>8797.9199999999983</v>
      </c>
      <c r="G70" s="41">
        <f>+G56+G68</f>
        <v>46954.42</v>
      </c>
      <c r="I70" s="41">
        <f>+G70/226</f>
        <v>207.76292035398228</v>
      </c>
      <c r="J70" s="25" t="s">
        <v>157</v>
      </c>
    </row>
    <row r="72" spans="1:11" x14ac:dyDescent="0.25">
      <c r="H72" s="11"/>
    </row>
    <row r="73" spans="1:11" x14ac:dyDescent="0.25">
      <c r="B73" s="6"/>
    </row>
    <row r="77" spans="1:11" x14ac:dyDescent="0.25">
      <c r="B77" s="6"/>
    </row>
  </sheetData>
  <mergeCells count="1">
    <mergeCell ref="A44:E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topLeftCell="A16" workbookViewId="0">
      <selection activeCell="M46" sqref="M46"/>
    </sheetView>
  </sheetViews>
  <sheetFormatPr defaultRowHeight="15" x14ac:dyDescent="0.25"/>
  <cols>
    <col min="1" max="1" width="46.7109375" customWidth="1"/>
    <col min="2" max="2" width="41.42578125" customWidth="1"/>
    <col min="3" max="3" width="9.28515625" customWidth="1"/>
    <col min="5" max="5" width="16.85546875" customWidth="1"/>
    <col min="6" max="6" width="16.140625" customWidth="1"/>
    <col min="7" max="7" width="17.140625" customWidth="1"/>
    <col min="257" max="257" width="46.7109375" customWidth="1"/>
    <col min="258" max="258" width="31.42578125" customWidth="1"/>
    <col min="259" max="259" width="9.28515625" customWidth="1"/>
    <col min="261" max="261" width="16.85546875" customWidth="1"/>
    <col min="262" max="262" width="16.140625" customWidth="1"/>
    <col min="263" max="263" width="17.140625" customWidth="1"/>
    <col min="513" max="513" width="46.7109375" customWidth="1"/>
    <col min="514" max="514" width="31.42578125" customWidth="1"/>
    <col min="515" max="515" width="9.28515625" customWidth="1"/>
    <col min="517" max="517" width="16.85546875" customWidth="1"/>
    <col min="518" max="518" width="16.140625" customWidth="1"/>
    <col min="519" max="519" width="17.140625" customWidth="1"/>
    <col min="769" max="769" width="46.7109375" customWidth="1"/>
    <col min="770" max="770" width="31.42578125" customWidth="1"/>
    <col min="771" max="771" width="9.28515625" customWidth="1"/>
    <col min="773" max="773" width="16.85546875" customWidth="1"/>
    <col min="774" max="774" width="16.140625" customWidth="1"/>
    <col min="775" max="775" width="17.140625" customWidth="1"/>
    <col min="1025" max="1025" width="46.7109375" customWidth="1"/>
    <col min="1026" max="1026" width="31.42578125" customWidth="1"/>
    <col min="1027" max="1027" width="9.28515625" customWidth="1"/>
    <col min="1029" max="1029" width="16.85546875" customWidth="1"/>
    <col min="1030" max="1030" width="16.140625" customWidth="1"/>
    <col min="1031" max="1031" width="17.140625" customWidth="1"/>
    <col min="1281" max="1281" width="46.7109375" customWidth="1"/>
    <col min="1282" max="1282" width="31.42578125" customWidth="1"/>
    <col min="1283" max="1283" width="9.28515625" customWidth="1"/>
    <col min="1285" max="1285" width="16.85546875" customWidth="1"/>
    <col min="1286" max="1286" width="16.140625" customWidth="1"/>
    <col min="1287" max="1287" width="17.140625" customWidth="1"/>
    <col min="1537" max="1537" width="46.7109375" customWidth="1"/>
    <col min="1538" max="1538" width="31.42578125" customWidth="1"/>
    <col min="1539" max="1539" width="9.28515625" customWidth="1"/>
    <col min="1541" max="1541" width="16.85546875" customWidth="1"/>
    <col min="1542" max="1542" width="16.140625" customWidth="1"/>
    <col min="1543" max="1543" width="17.140625" customWidth="1"/>
    <col min="1793" max="1793" width="46.7109375" customWidth="1"/>
    <col min="1794" max="1794" width="31.42578125" customWidth="1"/>
    <col min="1795" max="1795" width="9.28515625" customWidth="1"/>
    <col min="1797" max="1797" width="16.85546875" customWidth="1"/>
    <col min="1798" max="1798" width="16.140625" customWidth="1"/>
    <col min="1799" max="1799" width="17.140625" customWidth="1"/>
    <col min="2049" max="2049" width="46.7109375" customWidth="1"/>
    <col min="2050" max="2050" width="31.42578125" customWidth="1"/>
    <col min="2051" max="2051" width="9.28515625" customWidth="1"/>
    <col min="2053" max="2053" width="16.85546875" customWidth="1"/>
    <col min="2054" max="2054" width="16.140625" customWidth="1"/>
    <col min="2055" max="2055" width="17.140625" customWidth="1"/>
    <col min="2305" max="2305" width="46.7109375" customWidth="1"/>
    <col min="2306" max="2306" width="31.42578125" customWidth="1"/>
    <col min="2307" max="2307" width="9.28515625" customWidth="1"/>
    <col min="2309" max="2309" width="16.85546875" customWidth="1"/>
    <col min="2310" max="2310" width="16.140625" customWidth="1"/>
    <col min="2311" max="2311" width="17.140625" customWidth="1"/>
    <col min="2561" max="2561" width="46.7109375" customWidth="1"/>
    <col min="2562" max="2562" width="31.42578125" customWidth="1"/>
    <col min="2563" max="2563" width="9.28515625" customWidth="1"/>
    <col min="2565" max="2565" width="16.85546875" customWidth="1"/>
    <col min="2566" max="2566" width="16.140625" customWidth="1"/>
    <col min="2567" max="2567" width="17.140625" customWidth="1"/>
    <col min="2817" max="2817" width="46.7109375" customWidth="1"/>
    <col min="2818" max="2818" width="31.42578125" customWidth="1"/>
    <col min="2819" max="2819" width="9.28515625" customWidth="1"/>
    <col min="2821" max="2821" width="16.85546875" customWidth="1"/>
    <col min="2822" max="2822" width="16.140625" customWidth="1"/>
    <col min="2823" max="2823" width="17.140625" customWidth="1"/>
    <col min="3073" max="3073" width="46.7109375" customWidth="1"/>
    <col min="3074" max="3074" width="31.42578125" customWidth="1"/>
    <col min="3075" max="3075" width="9.28515625" customWidth="1"/>
    <col min="3077" max="3077" width="16.85546875" customWidth="1"/>
    <col min="3078" max="3078" width="16.140625" customWidth="1"/>
    <col min="3079" max="3079" width="17.140625" customWidth="1"/>
    <col min="3329" max="3329" width="46.7109375" customWidth="1"/>
    <col min="3330" max="3330" width="31.42578125" customWidth="1"/>
    <col min="3331" max="3331" width="9.28515625" customWidth="1"/>
    <col min="3333" max="3333" width="16.85546875" customWidth="1"/>
    <col min="3334" max="3334" width="16.140625" customWidth="1"/>
    <col min="3335" max="3335" width="17.140625" customWidth="1"/>
    <col min="3585" max="3585" width="46.7109375" customWidth="1"/>
    <col min="3586" max="3586" width="31.42578125" customWidth="1"/>
    <col min="3587" max="3587" width="9.28515625" customWidth="1"/>
    <col min="3589" max="3589" width="16.85546875" customWidth="1"/>
    <col min="3590" max="3590" width="16.140625" customWidth="1"/>
    <col min="3591" max="3591" width="17.140625" customWidth="1"/>
    <col min="3841" max="3841" width="46.7109375" customWidth="1"/>
    <col min="3842" max="3842" width="31.42578125" customWidth="1"/>
    <col min="3843" max="3843" width="9.28515625" customWidth="1"/>
    <col min="3845" max="3845" width="16.85546875" customWidth="1"/>
    <col min="3846" max="3846" width="16.140625" customWidth="1"/>
    <col min="3847" max="3847" width="17.140625" customWidth="1"/>
    <col min="4097" max="4097" width="46.7109375" customWidth="1"/>
    <col min="4098" max="4098" width="31.42578125" customWidth="1"/>
    <col min="4099" max="4099" width="9.28515625" customWidth="1"/>
    <col min="4101" max="4101" width="16.85546875" customWidth="1"/>
    <col min="4102" max="4102" width="16.140625" customWidth="1"/>
    <col min="4103" max="4103" width="17.140625" customWidth="1"/>
    <col min="4353" max="4353" width="46.7109375" customWidth="1"/>
    <col min="4354" max="4354" width="31.42578125" customWidth="1"/>
    <col min="4355" max="4355" width="9.28515625" customWidth="1"/>
    <col min="4357" max="4357" width="16.85546875" customWidth="1"/>
    <col min="4358" max="4358" width="16.140625" customWidth="1"/>
    <col min="4359" max="4359" width="17.140625" customWidth="1"/>
    <col min="4609" max="4609" width="46.7109375" customWidth="1"/>
    <col min="4610" max="4610" width="31.42578125" customWidth="1"/>
    <col min="4611" max="4611" width="9.28515625" customWidth="1"/>
    <col min="4613" max="4613" width="16.85546875" customWidth="1"/>
    <col min="4614" max="4614" width="16.140625" customWidth="1"/>
    <col min="4615" max="4615" width="17.140625" customWidth="1"/>
    <col min="4865" max="4865" width="46.7109375" customWidth="1"/>
    <col min="4866" max="4866" width="31.42578125" customWidth="1"/>
    <col min="4867" max="4867" width="9.28515625" customWidth="1"/>
    <col min="4869" max="4869" width="16.85546875" customWidth="1"/>
    <col min="4870" max="4870" width="16.140625" customWidth="1"/>
    <col min="4871" max="4871" width="17.140625" customWidth="1"/>
    <col min="5121" max="5121" width="46.7109375" customWidth="1"/>
    <col min="5122" max="5122" width="31.42578125" customWidth="1"/>
    <col min="5123" max="5123" width="9.28515625" customWidth="1"/>
    <col min="5125" max="5125" width="16.85546875" customWidth="1"/>
    <col min="5126" max="5126" width="16.140625" customWidth="1"/>
    <col min="5127" max="5127" width="17.140625" customWidth="1"/>
    <col min="5377" max="5377" width="46.7109375" customWidth="1"/>
    <col min="5378" max="5378" width="31.42578125" customWidth="1"/>
    <col min="5379" max="5379" width="9.28515625" customWidth="1"/>
    <col min="5381" max="5381" width="16.85546875" customWidth="1"/>
    <col min="5382" max="5382" width="16.140625" customWidth="1"/>
    <col min="5383" max="5383" width="17.140625" customWidth="1"/>
    <col min="5633" max="5633" width="46.7109375" customWidth="1"/>
    <col min="5634" max="5634" width="31.42578125" customWidth="1"/>
    <col min="5635" max="5635" width="9.28515625" customWidth="1"/>
    <col min="5637" max="5637" width="16.85546875" customWidth="1"/>
    <col min="5638" max="5638" width="16.140625" customWidth="1"/>
    <col min="5639" max="5639" width="17.140625" customWidth="1"/>
    <col min="5889" max="5889" width="46.7109375" customWidth="1"/>
    <col min="5890" max="5890" width="31.42578125" customWidth="1"/>
    <col min="5891" max="5891" width="9.28515625" customWidth="1"/>
    <col min="5893" max="5893" width="16.85546875" customWidth="1"/>
    <col min="5894" max="5894" width="16.140625" customWidth="1"/>
    <col min="5895" max="5895" width="17.140625" customWidth="1"/>
    <col min="6145" max="6145" width="46.7109375" customWidth="1"/>
    <col min="6146" max="6146" width="31.42578125" customWidth="1"/>
    <col min="6147" max="6147" width="9.28515625" customWidth="1"/>
    <col min="6149" max="6149" width="16.85546875" customWidth="1"/>
    <col min="6150" max="6150" width="16.140625" customWidth="1"/>
    <col min="6151" max="6151" width="17.140625" customWidth="1"/>
    <col min="6401" max="6401" width="46.7109375" customWidth="1"/>
    <col min="6402" max="6402" width="31.42578125" customWidth="1"/>
    <col min="6403" max="6403" width="9.28515625" customWidth="1"/>
    <col min="6405" max="6405" width="16.85546875" customWidth="1"/>
    <col min="6406" max="6406" width="16.140625" customWidth="1"/>
    <col min="6407" max="6407" width="17.140625" customWidth="1"/>
    <col min="6657" max="6657" width="46.7109375" customWidth="1"/>
    <col min="6658" max="6658" width="31.42578125" customWidth="1"/>
    <col min="6659" max="6659" width="9.28515625" customWidth="1"/>
    <col min="6661" max="6661" width="16.85546875" customWidth="1"/>
    <col min="6662" max="6662" width="16.140625" customWidth="1"/>
    <col min="6663" max="6663" width="17.140625" customWidth="1"/>
    <col min="6913" max="6913" width="46.7109375" customWidth="1"/>
    <col min="6914" max="6914" width="31.42578125" customWidth="1"/>
    <col min="6915" max="6915" width="9.28515625" customWidth="1"/>
    <col min="6917" max="6917" width="16.85546875" customWidth="1"/>
    <col min="6918" max="6918" width="16.140625" customWidth="1"/>
    <col min="6919" max="6919" width="17.140625" customWidth="1"/>
    <col min="7169" max="7169" width="46.7109375" customWidth="1"/>
    <col min="7170" max="7170" width="31.42578125" customWidth="1"/>
    <col min="7171" max="7171" width="9.28515625" customWidth="1"/>
    <col min="7173" max="7173" width="16.85546875" customWidth="1"/>
    <col min="7174" max="7174" width="16.140625" customWidth="1"/>
    <col min="7175" max="7175" width="17.140625" customWidth="1"/>
    <col min="7425" max="7425" width="46.7109375" customWidth="1"/>
    <col min="7426" max="7426" width="31.42578125" customWidth="1"/>
    <col min="7427" max="7427" width="9.28515625" customWidth="1"/>
    <col min="7429" max="7429" width="16.85546875" customWidth="1"/>
    <col min="7430" max="7430" width="16.140625" customWidth="1"/>
    <col min="7431" max="7431" width="17.140625" customWidth="1"/>
    <col min="7681" max="7681" width="46.7109375" customWidth="1"/>
    <col min="7682" max="7682" width="31.42578125" customWidth="1"/>
    <col min="7683" max="7683" width="9.28515625" customWidth="1"/>
    <col min="7685" max="7685" width="16.85546875" customWidth="1"/>
    <col min="7686" max="7686" width="16.140625" customWidth="1"/>
    <col min="7687" max="7687" width="17.140625" customWidth="1"/>
    <col min="7937" max="7937" width="46.7109375" customWidth="1"/>
    <col min="7938" max="7938" width="31.42578125" customWidth="1"/>
    <col min="7939" max="7939" width="9.28515625" customWidth="1"/>
    <col min="7941" max="7941" width="16.85546875" customWidth="1"/>
    <col min="7942" max="7942" width="16.140625" customWidth="1"/>
    <col min="7943" max="7943" width="17.140625" customWidth="1"/>
    <col min="8193" max="8193" width="46.7109375" customWidth="1"/>
    <col min="8194" max="8194" width="31.42578125" customWidth="1"/>
    <col min="8195" max="8195" width="9.28515625" customWidth="1"/>
    <col min="8197" max="8197" width="16.85546875" customWidth="1"/>
    <col min="8198" max="8198" width="16.140625" customWidth="1"/>
    <col min="8199" max="8199" width="17.140625" customWidth="1"/>
    <col min="8449" max="8449" width="46.7109375" customWidth="1"/>
    <col min="8450" max="8450" width="31.42578125" customWidth="1"/>
    <col min="8451" max="8451" width="9.28515625" customWidth="1"/>
    <col min="8453" max="8453" width="16.85546875" customWidth="1"/>
    <col min="8454" max="8454" width="16.140625" customWidth="1"/>
    <col min="8455" max="8455" width="17.140625" customWidth="1"/>
    <col min="8705" max="8705" width="46.7109375" customWidth="1"/>
    <col min="8706" max="8706" width="31.42578125" customWidth="1"/>
    <col min="8707" max="8707" width="9.28515625" customWidth="1"/>
    <col min="8709" max="8709" width="16.85546875" customWidth="1"/>
    <col min="8710" max="8710" width="16.140625" customWidth="1"/>
    <col min="8711" max="8711" width="17.140625" customWidth="1"/>
    <col min="8961" max="8961" width="46.7109375" customWidth="1"/>
    <col min="8962" max="8962" width="31.42578125" customWidth="1"/>
    <col min="8963" max="8963" width="9.28515625" customWidth="1"/>
    <col min="8965" max="8965" width="16.85546875" customWidth="1"/>
    <col min="8966" max="8966" width="16.140625" customWidth="1"/>
    <col min="8967" max="8967" width="17.140625" customWidth="1"/>
    <col min="9217" max="9217" width="46.7109375" customWidth="1"/>
    <col min="9218" max="9218" width="31.42578125" customWidth="1"/>
    <col min="9219" max="9219" width="9.28515625" customWidth="1"/>
    <col min="9221" max="9221" width="16.85546875" customWidth="1"/>
    <col min="9222" max="9222" width="16.140625" customWidth="1"/>
    <col min="9223" max="9223" width="17.140625" customWidth="1"/>
    <col min="9473" max="9473" width="46.7109375" customWidth="1"/>
    <col min="9474" max="9474" width="31.42578125" customWidth="1"/>
    <col min="9475" max="9475" width="9.28515625" customWidth="1"/>
    <col min="9477" max="9477" width="16.85546875" customWidth="1"/>
    <col min="9478" max="9478" width="16.140625" customWidth="1"/>
    <col min="9479" max="9479" width="17.140625" customWidth="1"/>
    <col min="9729" max="9729" width="46.7109375" customWidth="1"/>
    <col min="9730" max="9730" width="31.42578125" customWidth="1"/>
    <col min="9731" max="9731" width="9.28515625" customWidth="1"/>
    <col min="9733" max="9733" width="16.85546875" customWidth="1"/>
    <col min="9734" max="9734" width="16.140625" customWidth="1"/>
    <col min="9735" max="9735" width="17.140625" customWidth="1"/>
    <col min="9985" max="9985" width="46.7109375" customWidth="1"/>
    <col min="9986" max="9986" width="31.42578125" customWidth="1"/>
    <col min="9987" max="9987" width="9.28515625" customWidth="1"/>
    <col min="9989" max="9989" width="16.85546875" customWidth="1"/>
    <col min="9990" max="9990" width="16.140625" customWidth="1"/>
    <col min="9991" max="9991" width="17.140625" customWidth="1"/>
    <col min="10241" max="10241" width="46.7109375" customWidth="1"/>
    <col min="10242" max="10242" width="31.42578125" customWidth="1"/>
    <col min="10243" max="10243" width="9.28515625" customWidth="1"/>
    <col min="10245" max="10245" width="16.85546875" customWidth="1"/>
    <col min="10246" max="10246" width="16.140625" customWidth="1"/>
    <col min="10247" max="10247" width="17.140625" customWidth="1"/>
    <col min="10497" max="10497" width="46.7109375" customWidth="1"/>
    <col min="10498" max="10498" width="31.42578125" customWidth="1"/>
    <col min="10499" max="10499" width="9.28515625" customWidth="1"/>
    <col min="10501" max="10501" width="16.85546875" customWidth="1"/>
    <col min="10502" max="10502" width="16.140625" customWidth="1"/>
    <col min="10503" max="10503" width="17.140625" customWidth="1"/>
    <col min="10753" max="10753" width="46.7109375" customWidth="1"/>
    <col min="10754" max="10754" width="31.42578125" customWidth="1"/>
    <col min="10755" max="10755" width="9.28515625" customWidth="1"/>
    <col min="10757" max="10757" width="16.85546875" customWidth="1"/>
    <col min="10758" max="10758" width="16.140625" customWidth="1"/>
    <col min="10759" max="10759" width="17.140625" customWidth="1"/>
    <col min="11009" max="11009" width="46.7109375" customWidth="1"/>
    <col min="11010" max="11010" width="31.42578125" customWidth="1"/>
    <col min="11011" max="11011" width="9.28515625" customWidth="1"/>
    <col min="11013" max="11013" width="16.85546875" customWidth="1"/>
    <col min="11014" max="11014" width="16.140625" customWidth="1"/>
    <col min="11015" max="11015" width="17.140625" customWidth="1"/>
    <col min="11265" max="11265" width="46.7109375" customWidth="1"/>
    <col min="11266" max="11266" width="31.42578125" customWidth="1"/>
    <col min="11267" max="11267" width="9.28515625" customWidth="1"/>
    <col min="11269" max="11269" width="16.85546875" customWidth="1"/>
    <col min="11270" max="11270" width="16.140625" customWidth="1"/>
    <col min="11271" max="11271" width="17.140625" customWidth="1"/>
    <col min="11521" max="11521" width="46.7109375" customWidth="1"/>
    <col min="11522" max="11522" width="31.42578125" customWidth="1"/>
    <col min="11523" max="11523" width="9.28515625" customWidth="1"/>
    <col min="11525" max="11525" width="16.85546875" customWidth="1"/>
    <col min="11526" max="11526" width="16.140625" customWidth="1"/>
    <col min="11527" max="11527" width="17.140625" customWidth="1"/>
    <col min="11777" max="11777" width="46.7109375" customWidth="1"/>
    <col min="11778" max="11778" width="31.42578125" customWidth="1"/>
    <col min="11779" max="11779" width="9.28515625" customWidth="1"/>
    <col min="11781" max="11781" width="16.85546875" customWidth="1"/>
    <col min="11782" max="11782" width="16.140625" customWidth="1"/>
    <col min="11783" max="11783" width="17.140625" customWidth="1"/>
    <col min="12033" max="12033" width="46.7109375" customWidth="1"/>
    <col min="12034" max="12034" width="31.42578125" customWidth="1"/>
    <col min="12035" max="12035" width="9.28515625" customWidth="1"/>
    <col min="12037" max="12037" width="16.85546875" customWidth="1"/>
    <col min="12038" max="12038" width="16.140625" customWidth="1"/>
    <col min="12039" max="12039" width="17.140625" customWidth="1"/>
    <col min="12289" max="12289" width="46.7109375" customWidth="1"/>
    <col min="12290" max="12290" width="31.42578125" customWidth="1"/>
    <col min="12291" max="12291" width="9.28515625" customWidth="1"/>
    <col min="12293" max="12293" width="16.85546875" customWidth="1"/>
    <col min="12294" max="12294" width="16.140625" customWidth="1"/>
    <col min="12295" max="12295" width="17.140625" customWidth="1"/>
    <col min="12545" max="12545" width="46.7109375" customWidth="1"/>
    <col min="12546" max="12546" width="31.42578125" customWidth="1"/>
    <col min="12547" max="12547" width="9.28515625" customWidth="1"/>
    <col min="12549" max="12549" width="16.85546875" customWidth="1"/>
    <col min="12550" max="12550" width="16.140625" customWidth="1"/>
    <col min="12551" max="12551" width="17.140625" customWidth="1"/>
    <col min="12801" max="12801" width="46.7109375" customWidth="1"/>
    <col min="12802" max="12802" width="31.42578125" customWidth="1"/>
    <col min="12803" max="12803" width="9.28515625" customWidth="1"/>
    <col min="12805" max="12805" width="16.85546875" customWidth="1"/>
    <col min="12806" max="12806" width="16.140625" customWidth="1"/>
    <col min="12807" max="12807" width="17.140625" customWidth="1"/>
    <col min="13057" max="13057" width="46.7109375" customWidth="1"/>
    <col min="13058" max="13058" width="31.42578125" customWidth="1"/>
    <col min="13059" max="13059" width="9.28515625" customWidth="1"/>
    <col min="13061" max="13061" width="16.85546875" customWidth="1"/>
    <col min="13062" max="13062" width="16.140625" customWidth="1"/>
    <col min="13063" max="13063" width="17.140625" customWidth="1"/>
    <col min="13313" max="13313" width="46.7109375" customWidth="1"/>
    <col min="13314" max="13314" width="31.42578125" customWidth="1"/>
    <col min="13315" max="13315" width="9.28515625" customWidth="1"/>
    <col min="13317" max="13317" width="16.85546875" customWidth="1"/>
    <col min="13318" max="13318" width="16.140625" customWidth="1"/>
    <col min="13319" max="13319" width="17.140625" customWidth="1"/>
    <col min="13569" max="13569" width="46.7109375" customWidth="1"/>
    <col min="13570" max="13570" width="31.42578125" customWidth="1"/>
    <col min="13571" max="13571" width="9.28515625" customWidth="1"/>
    <col min="13573" max="13573" width="16.85546875" customWidth="1"/>
    <col min="13574" max="13574" width="16.140625" customWidth="1"/>
    <col min="13575" max="13575" width="17.140625" customWidth="1"/>
    <col min="13825" max="13825" width="46.7109375" customWidth="1"/>
    <col min="13826" max="13826" width="31.42578125" customWidth="1"/>
    <col min="13827" max="13827" width="9.28515625" customWidth="1"/>
    <col min="13829" max="13829" width="16.85546875" customWidth="1"/>
    <col min="13830" max="13830" width="16.140625" customWidth="1"/>
    <col min="13831" max="13831" width="17.140625" customWidth="1"/>
    <col min="14081" max="14081" width="46.7109375" customWidth="1"/>
    <col min="14082" max="14082" width="31.42578125" customWidth="1"/>
    <col min="14083" max="14083" width="9.28515625" customWidth="1"/>
    <col min="14085" max="14085" width="16.85546875" customWidth="1"/>
    <col min="14086" max="14086" width="16.140625" customWidth="1"/>
    <col min="14087" max="14087" width="17.140625" customWidth="1"/>
    <col min="14337" max="14337" width="46.7109375" customWidth="1"/>
    <col min="14338" max="14338" width="31.42578125" customWidth="1"/>
    <col min="14339" max="14339" width="9.28515625" customWidth="1"/>
    <col min="14341" max="14341" width="16.85546875" customWidth="1"/>
    <col min="14342" max="14342" width="16.140625" customWidth="1"/>
    <col min="14343" max="14343" width="17.140625" customWidth="1"/>
    <col min="14593" max="14593" width="46.7109375" customWidth="1"/>
    <col min="14594" max="14594" width="31.42578125" customWidth="1"/>
    <col min="14595" max="14595" width="9.28515625" customWidth="1"/>
    <col min="14597" max="14597" width="16.85546875" customWidth="1"/>
    <col min="14598" max="14598" width="16.140625" customWidth="1"/>
    <col min="14599" max="14599" width="17.140625" customWidth="1"/>
    <col min="14849" max="14849" width="46.7109375" customWidth="1"/>
    <col min="14850" max="14850" width="31.42578125" customWidth="1"/>
    <col min="14851" max="14851" width="9.28515625" customWidth="1"/>
    <col min="14853" max="14853" width="16.85546875" customWidth="1"/>
    <col min="14854" max="14854" width="16.140625" customWidth="1"/>
    <col min="14855" max="14855" width="17.140625" customWidth="1"/>
    <col min="15105" max="15105" width="46.7109375" customWidth="1"/>
    <col min="15106" max="15106" width="31.42578125" customWidth="1"/>
    <col min="15107" max="15107" width="9.28515625" customWidth="1"/>
    <col min="15109" max="15109" width="16.85546875" customWidth="1"/>
    <col min="15110" max="15110" width="16.140625" customWidth="1"/>
    <col min="15111" max="15111" width="17.140625" customWidth="1"/>
    <col min="15361" max="15361" width="46.7109375" customWidth="1"/>
    <col min="15362" max="15362" width="31.42578125" customWidth="1"/>
    <col min="15363" max="15363" width="9.28515625" customWidth="1"/>
    <col min="15365" max="15365" width="16.85546875" customWidth="1"/>
    <col min="15366" max="15366" width="16.140625" customWidth="1"/>
    <col min="15367" max="15367" width="17.140625" customWidth="1"/>
    <col min="15617" max="15617" width="46.7109375" customWidth="1"/>
    <col min="15618" max="15618" width="31.42578125" customWidth="1"/>
    <col min="15619" max="15619" width="9.28515625" customWidth="1"/>
    <col min="15621" max="15621" width="16.85546875" customWidth="1"/>
    <col min="15622" max="15622" width="16.140625" customWidth="1"/>
    <col min="15623" max="15623" width="17.140625" customWidth="1"/>
    <col min="15873" max="15873" width="46.7109375" customWidth="1"/>
    <col min="15874" max="15874" width="31.42578125" customWidth="1"/>
    <col min="15875" max="15875" width="9.28515625" customWidth="1"/>
    <col min="15877" max="15877" width="16.85546875" customWidth="1"/>
    <col min="15878" max="15878" width="16.140625" customWidth="1"/>
    <col min="15879" max="15879" width="17.140625" customWidth="1"/>
    <col min="16129" max="16129" width="46.7109375" customWidth="1"/>
    <col min="16130" max="16130" width="31.42578125" customWidth="1"/>
    <col min="16131" max="16131" width="9.28515625" customWidth="1"/>
    <col min="16133" max="16133" width="16.85546875" customWidth="1"/>
    <col min="16134" max="16134" width="16.140625" customWidth="1"/>
    <col min="16135" max="16135" width="17.140625" customWidth="1"/>
  </cols>
  <sheetData>
    <row r="1" spans="1:10" ht="18" x14ac:dyDescent="0.25">
      <c r="A1" s="20" t="s">
        <v>126</v>
      </c>
      <c r="B1" s="21" t="s">
        <v>127</v>
      </c>
      <c r="C1" s="21" t="s">
        <v>77</v>
      </c>
      <c r="D1" s="42" t="s">
        <v>78</v>
      </c>
      <c r="E1" s="42" t="s">
        <v>79</v>
      </c>
      <c r="F1" s="23" t="s">
        <v>80</v>
      </c>
      <c r="G1" s="21" t="s">
        <v>81</v>
      </c>
      <c r="H1" t="s">
        <v>240</v>
      </c>
    </row>
    <row r="2" spans="1:10" ht="18" x14ac:dyDescent="0.25">
      <c r="A2" s="25" t="s">
        <v>82</v>
      </c>
      <c r="B2" s="26"/>
      <c r="C2" s="26"/>
      <c r="D2" s="27"/>
      <c r="E2" s="27"/>
      <c r="F2" s="43">
        <v>0.24</v>
      </c>
      <c r="G2" s="30"/>
      <c r="H2" s="30"/>
      <c r="I2" s="30"/>
      <c r="J2" s="30"/>
    </row>
    <row r="3" spans="1:10" x14ac:dyDescent="0.25">
      <c r="A3" s="6" t="s">
        <v>128</v>
      </c>
      <c r="B3" s="55" t="s">
        <v>203</v>
      </c>
      <c r="C3">
        <v>118</v>
      </c>
      <c r="D3" s="8">
        <v>20</v>
      </c>
      <c r="E3" s="8">
        <f>+D3*C3</f>
        <v>2360</v>
      </c>
      <c r="F3" s="8">
        <f>+E3*F2</f>
        <v>566.4</v>
      </c>
      <c r="G3" s="11">
        <f>+E3+F3</f>
        <v>2926.4</v>
      </c>
      <c r="H3">
        <v>87</v>
      </c>
      <c r="I3" s="11"/>
    </row>
    <row r="4" spans="1:10" x14ac:dyDescent="0.25">
      <c r="A4" s="6" t="s">
        <v>129</v>
      </c>
      <c r="B4" s="55" t="s">
        <v>204</v>
      </c>
      <c r="C4">
        <v>118</v>
      </c>
      <c r="D4" s="8">
        <v>20</v>
      </c>
      <c r="E4" s="8">
        <f>+D4*C4</f>
        <v>2360</v>
      </c>
      <c r="F4" s="8">
        <f>+E4*F2</f>
        <v>566.4</v>
      </c>
      <c r="G4" s="11">
        <f>+E4+F4</f>
        <v>2926.4</v>
      </c>
      <c r="H4">
        <v>103</v>
      </c>
    </row>
    <row r="5" spans="1:10" x14ac:dyDescent="0.25">
      <c r="A5" s="31" t="s">
        <v>87</v>
      </c>
      <c r="D5" s="8"/>
      <c r="E5" s="15"/>
      <c r="F5" s="15"/>
      <c r="I5" s="11"/>
    </row>
    <row r="6" spans="1:10" ht="18" x14ac:dyDescent="0.25">
      <c r="A6" s="20" t="s">
        <v>88</v>
      </c>
      <c r="B6" s="32"/>
      <c r="C6" s="32"/>
      <c r="D6" s="33"/>
      <c r="E6" s="34">
        <f>SUM(E3:E5)</f>
        <v>4720</v>
      </c>
      <c r="F6" s="34">
        <f>SUM(F3:F5)</f>
        <v>1132.8</v>
      </c>
      <c r="G6" s="44">
        <f>+E6+F6</f>
        <v>5852.8</v>
      </c>
    </row>
    <row r="7" spans="1:10" x14ac:dyDescent="0.25">
      <c r="A7" s="6"/>
      <c r="D7" s="8"/>
      <c r="E7" s="15"/>
      <c r="F7" s="15"/>
      <c r="G7" s="6"/>
    </row>
    <row r="8" spans="1:10" ht="18" x14ac:dyDescent="0.25">
      <c r="A8" s="25" t="s">
        <v>89</v>
      </c>
      <c r="B8" s="55"/>
      <c r="D8" s="8"/>
      <c r="E8" s="15"/>
      <c r="F8" s="15"/>
      <c r="G8" s="5"/>
    </row>
    <row r="9" spans="1:10" x14ac:dyDescent="0.25">
      <c r="A9" s="6" t="s">
        <v>130</v>
      </c>
      <c r="B9" s="55" t="s">
        <v>349</v>
      </c>
      <c r="C9">
        <v>118</v>
      </c>
      <c r="D9" s="8">
        <v>22</v>
      </c>
      <c r="E9" s="8">
        <f>+C9*D9</f>
        <v>2596</v>
      </c>
      <c r="F9" s="8">
        <f>+E9*F2</f>
        <v>623.04</v>
      </c>
      <c r="G9" s="8">
        <f>+E9+F9</f>
        <v>3219.04</v>
      </c>
      <c r="H9" s="5">
        <v>112</v>
      </c>
    </row>
    <row r="10" spans="1:10" x14ac:dyDescent="0.25">
      <c r="A10" s="6" t="s">
        <v>131</v>
      </c>
      <c r="B10" s="55" t="s">
        <v>369</v>
      </c>
      <c r="C10">
        <v>126</v>
      </c>
      <c r="D10" s="8">
        <v>22</v>
      </c>
      <c r="E10" s="36">
        <f>+C10*D10</f>
        <v>2772</v>
      </c>
      <c r="F10" s="8">
        <f>+E10*F2</f>
        <v>665.28</v>
      </c>
      <c r="G10" s="8">
        <f>+E10+F10</f>
        <v>3437.2799999999997</v>
      </c>
      <c r="H10" s="5">
        <v>111</v>
      </c>
    </row>
    <row r="11" spans="1:10" x14ac:dyDescent="0.25">
      <c r="A11" s="6"/>
      <c r="B11" s="14"/>
      <c r="D11" s="8"/>
      <c r="E11" s="36"/>
      <c r="F11" s="8"/>
      <c r="G11" s="8"/>
      <c r="H11" s="30"/>
    </row>
    <row r="12" spans="1:10" ht="18" x14ac:dyDescent="0.25">
      <c r="A12" s="20" t="s">
        <v>93</v>
      </c>
      <c r="B12" s="32"/>
      <c r="C12" s="32"/>
      <c r="D12" s="33"/>
      <c r="E12" s="34">
        <f>SUM(E9:E10)</f>
        <v>5368</v>
      </c>
      <c r="F12" s="34">
        <f>SUM(F9:F10)</f>
        <v>1288.32</v>
      </c>
      <c r="G12" s="34">
        <f>SUM(G9:G10)</f>
        <v>6656.32</v>
      </c>
    </row>
    <row r="13" spans="1:10" ht="18" x14ac:dyDescent="0.25">
      <c r="A13" s="25"/>
      <c r="B13" s="37"/>
      <c r="C13" s="37"/>
      <c r="D13" s="38"/>
      <c r="E13" s="39"/>
      <c r="F13" s="39"/>
    </row>
    <row r="14" spans="1:10" ht="20.25" x14ac:dyDescent="0.3">
      <c r="A14" s="1" t="s">
        <v>94</v>
      </c>
      <c r="B14" s="31" t="s">
        <v>95</v>
      </c>
      <c r="D14" s="8"/>
      <c r="E14" s="8"/>
      <c r="F14" s="8"/>
    </row>
    <row r="15" spans="1:10" x14ac:dyDescent="0.25">
      <c r="A15" s="6" t="s">
        <v>218</v>
      </c>
      <c r="B15" t="s">
        <v>97</v>
      </c>
      <c r="C15">
        <v>8</v>
      </c>
      <c r="D15" s="8">
        <v>80</v>
      </c>
      <c r="E15" s="8">
        <f>+D15*C15</f>
        <v>640</v>
      </c>
      <c r="F15" s="8">
        <f>+E15*F2</f>
        <v>153.6</v>
      </c>
      <c r="G15" s="45">
        <f>+E15+F15</f>
        <v>793.6</v>
      </c>
      <c r="I15">
        <v>16</v>
      </c>
      <c r="J15" t="s">
        <v>133</v>
      </c>
    </row>
    <row r="16" spans="1:10" x14ac:dyDescent="0.25">
      <c r="A16" s="6"/>
      <c r="B16" t="s">
        <v>98</v>
      </c>
      <c r="C16">
        <v>1</v>
      </c>
      <c r="D16" s="8">
        <v>80</v>
      </c>
      <c r="E16" s="8">
        <f>+D16*C16</f>
        <v>80</v>
      </c>
      <c r="F16" s="8">
        <f>+E16*F2</f>
        <v>19.2</v>
      </c>
      <c r="G16" s="45">
        <f>+E16+F16</f>
        <v>99.2</v>
      </c>
    </row>
    <row r="17" spans="1:10" x14ac:dyDescent="0.25">
      <c r="A17" s="6" t="s">
        <v>91</v>
      </c>
      <c r="D17" s="8"/>
      <c r="E17" s="15">
        <f>SUM(E15:E16)</f>
        <v>720</v>
      </c>
      <c r="F17" s="8">
        <f>+E17*F2</f>
        <v>172.79999999999998</v>
      </c>
      <c r="G17" s="15">
        <f>SUM(G15:G16)</f>
        <v>892.80000000000007</v>
      </c>
      <c r="I17">
        <f>+C15*I15</f>
        <v>128</v>
      </c>
      <c r="J17" t="s">
        <v>314</v>
      </c>
    </row>
    <row r="18" spans="1:10" x14ac:dyDescent="0.25">
      <c r="A18" s="6"/>
      <c r="D18" s="8"/>
      <c r="E18" s="36"/>
      <c r="F18" s="8">
        <f>+E18*0.2</f>
        <v>0</v>
      </c>
    </row>
    <row r="19" spans="1:10" x14ac:dyDescent="0.25">
      <c r="A19" s="6" t="s">
        <v>219</v>
      </c>
      <c r="B19" t="s">
        <v>373</v>
      </c>
      <c r="C19">
        <v>50</v>
      </c>
      <c r="D19" s="8">
        <v>5</v>
      </c>
      <c r="E19" s="8">
        <f>+D19*C19</f>
        <v>250</v>
      </c>
      <c r="F19" s="8">
        <f>+E19*F2</f>
        <v>60</v>
      </c>
      <c r="G19" s="45">
        <f>+E19+F19</f>
        <v>310</v>
      </c>
    </row>
    <row r="20" spans="1:10" x14ac:dyDescent="0.25">
      <c r="A20" s="6"/>
      <c r="B20" t="s">
        <v>374</v>
      </c>
      <c r="C20">
        <v>50</v>
      </c>
      <c r="D20" s="8">
        <v>4</v>
      </c>
      <c r="E20" s="8">
        <f>+D20*C20</f>
        <v>200</v>
      </c>
      <c r="F20" s="8">
        <f>+E20*F2</f>
        <v>48</v>
      </c>
      <c r="G20" s="45">
        <f>+E20+F20</f>
        <v>248</v>
      </c>
    </row>
    <row r="21" spans="1:10" x14ac:dyDescent="0.25">
      <c r="A21" s="6" t="s">
        <v>91</v>
      </c>
      <c r="D21" s="8"/>
      <c r="E21" s="15">
        <f>SUM(E19:E20)</f>
        <v>450</v>
      </c>
      <c r="F21" s="8">
        <f>+E21*F2</f>
        <v>108</v>
      </c>
      <c r="G21" s="15">
        <f>SUM(G19:G20)</f>
        <v>558</v>
      </c>
    </row>
    <row r="22" spans="1:10" x14ac:dyDescent="0.25">
      <c r="A22" s="6"/>
      <c r="D22" s="8"/>
      <c r="E22" s="15"/>
      <c r="F22" s="8">
        <f>+E22*0.2</f>
        <v>0</v>
      </c>
      <c r="G22" s="15"/>
    </row>
    <row r="23" spans="1:10" x14ac:dyDescent="0.25">
      <c r="A23" s="6" t="s">
        <v>220</v>
      </c>
      <c r="B23" t="s">
        <v>106</v>
      </c>
      <c r="C23">
        <v>8</v>
      </c>
      <c r="D23" s="8">
        <v>80</v>
      </c>
      <c r="E23" s="8">
        <f>+D23*C23</f>
        <v>640</v>
      </c>
      <c r="F23" s="8">
        <f>+E23*F2</f>
        <v>153.6</v>
      </c>
      <c r="G23" s="45">
        <f>+E23+F23</f>
        <v>793.6</v>
      </c>
    </row>
    <row r="24" spans="1:10" x14ac:dyDescent="0.25">
      <c r="A24" s="6"/>
      <c r="B24" t="s">
        <v>98</v>
      </c>
      <c r="C24">
        <v>1</v>
      </c>
      <c r="D24" s="8">
        <v>80</v>
      </c>
      <c r="E24" s="8">
        <f>+D24*C24</f>
        <v>80</v>
      </c>
      <c r="F24" s="8">
        <f>+E24*F2</f>
        <v>19.2</v>
      </c>
      <c r="G24" s="45">
        <f>+E24+F24</f>
        <v>99.2</v>
      </c>
    </row>
    <row r="25" spans="1:10" x14ac:dyDescent="0.25">
      <c r="A25" s="6" t="s">
        <v>91</v>
      </c>
      <c r="D25" s="8"/>
      <c r="E25" s="15">
        <f>SUM(E23:E24)</f>
        <v>720</v>
      </c>
      <c r="F25" s="8">
        <f>+E25*F2</f>
        <v>172.79999999999998</v>
      </c>
      <c r="G25" s="15">
        <f>SUM(G23:G24)</f>
        <v>892.80000000000007</v>
      </c>
    </row>
    <row r="26" spans="1:10" x14ac:dyDescent="0.25">
      <c r="A26" s="6"/>
      <c r="D26" s="8"/>
      <c r="E26" s="8"/>
      <c r="F26" s="8">
        <f>+E26*0.2</f>
        <v>0</v>
      </c>
      <c r="G26" s="45"/>
    </row>
    <row r="27" spans="1:10" x14ac:dyDescent="0.25">
      <c r="A27" s="6" t="s">
        <v>221</v>
      </c>
      <c r="B27" t="s">
        <v>373</v>
      </c>
      <c r="C27">
        <v>50</v>
      </c>
      <c r="D27" s="8">
        <v>5</v>
      </c>
      <c r="E27" s="8">
        <f>+D27*C27</f>
        <v>250</v>
      </c>
      <c r="F27" s="8">
        <f>+E27*F2</f>
        <v>60</v>
      </c>
      <c r="G27" s="45">
        <f>+E27+F27</f>
        <v>310</v>
      </c>
    </row>
    <row r="28" spans="1:10" x14ac:dyDescent="0.25">
      <c r="A28" s="6"/>
      <c r="B28" t="s">
        <v>374</v>
      </c>
      <c r="C28">
        <v>50</v>
      </c>
      <c r="D28" s="8">
        <v>4</v>
      </c>
      <c r="E28" s="8">
        <f>+D28*C28</f>
        <v>200</v>
      </c>
      <c r="F28" s="8">
        <f>+E28*F2</f>
        <v>48</v>
      </c>
      <c r="G28" s="45">
        <f>+E28+F28</f>
        <v>248</v>
      </c>
    </row>
    <row r="29" spans="1:10" x14ac:dyDescent="0.25">
      <c r="A29" s="6" t="s">
        <v>91</v>
      </c>
      <c r="D29" s="8"/>
      <c r="E29" s="15">
        <f>SUM(E27:E28)</f>
        <v>450</v>
      </c>
      <c r="F29" s="8">
        <f>+E29*F2</f>
        <v>108</v>
      </c>
      <c r="G29" s="15">
        <f>SUM(G27:G28)</f>
        <v>558</v>
      </c>
    </row>
    <row r="30" spans="1:10" x14ac:dyDescent="0.25">
      <c r="A30" s="6"/>
      <c r="D30" s="8"/>
      <c r="E30" s="36"/>
      <c r="F30" s="36"/>
    </row>
    <row r="31" spans="1:10" ht="18" x14ac:dyDescent="0.25">
      <c r="A31" s="20" t="s">
        <v>110</v>
      </c>
      <c r="B31" s="32"/>
      <c r="C31" s="32"/>
      <c r="D31" s="33"/>
      <c r="E31" s="34">
        <f>+E17+E21+E25+E29</f>
        <v>2340</v>
      </c>
      <c r="F31" s="34">
        <f>+F17+F21+F25+F29</f>
        <v>561.59999999999991</v>
      </c>
      <c r="G31" s="34">
        <f>+G17+G21+G25+G29</f>
        <v>2901.6000000000004</v>
      </c>
      <c r="I31">
        <f>+G31/93</f>
        <v>31.200000000000003</v>
      </c>
    </row>
    <row r="32" spans="1:10" x14ac:dyDescent="0.25">
      <c r="B32" s="6" t="s">
        <v>118</v>
      </c>
      <c r="D32" s="8"/>
      <c r="E32" s="15"/>
      <c r="F32" s="15"/>
    </row>
    <row r="33" spans="1:9" x14ac:dyDescent="0.25">
      <c r="A33" s="6"/>
      <c r="B33" s="6"/>
      <c r="D33" s="8"/>
      <c r="E33" s="15"/>
      <c r="F33" s="15"/>
    </row>
    <row r="34" spans="1:9" ht="18" x14ac:dyDescent="0.25">
      <c r="A34" s="149" t="s">
        <v>138</v>
      </c>
      <c r="B34" s="149"/>
      <c r="C34" s="37"/>
      <c r="D34" s="38"/>
      <c r="E34" s="39">
        <f>+E6+E12+E31</f>
        <v>12428</v>
      </c>
      <c r="F34" s="39">
        <f>+F6+F12+F31</f>
        <v>2982.72</v>
      </c>
      <c r="G34" s="39">
        <f>+G6+G12+G31</f>
        <v>15410.72</v>
      </c>
    </row>
    <row r="35" spans="1:9" x14ac:dyDescent="0.25">
      <c r="A35" s="6"/>
      <c r="D35" s="8"/>
      <c r="E35" s="8"/>
      <c r="F35" s="8"/>
    </row>
    <row r="36" spans="1:9" ht="18" x14ac:dyDescent="0.25">
      <c r="A36" s="25" t="s">
        <v>139</v>
      </c>
      <c r="F36" s="11"/>
    </row>
    <row r="37" spans="1:9" x14ac:dyDescent="0.25">
      <c r="B37" s="46" t="s">
        <v>140</v>
      </c>
      <c r="C37" s="46" t="s">
        <v>141</v>
      </c>
      <c r="D37" s="46"/>
      <c r="E37" s="46" t="s">
        <v>142</v>
      </c>
      <c r="F37" s="46" t="s">
        <v>143</v>
      </c>
      <c r="G37" s="46" t="s">
        <v>144</v>
      </c>
    </row>
    <row r="38" spans="1:9" x14ac:dyDescent="0.25">
      <c r="A38" s="6" t="s">
        <v>208</v>
      </c>
      <c r="B38" s="6" t="s">
        <v>212</v>
      </c>
      <c r="E38" s="8"/>
      <c r="F38" s="8">
        <f>+E38*0.25</f>
        <v>0</v>
      </c>
      <c r="G38" s="8">
        <v>2000</v>
      </c>
    </row>
    <row r="39" spans="1:9" x14ac:dyDescent="0.25">
      <c r="A39" s="6" t="s">
        <v>209</v>
      </c>
      <c r="B39" s="14"/>
      <c r="C39">
        <v>1</v>
      </c>
      <c r="E39" s="8">
        <v>150</v>
      </c>
      <c r="F39" s="8">
        <f>+E39*0.25</f>
        <v>37.5</v>
      </c>
      <c r="G39" s="8">
        <f>+E39+F39</f>
        <v>187.5</v>
      </c>
    </row>
    <row r="40" spans="1:9" x14ac:dyDescent="0.25">
      <c r="A40" s="6" t="s">
        <v>213</v>
      </c>
      <c r="B40" s="14"/>
      <c r="C40">
        <v>1</v>
      </c>
      <c r="E40" s="8">
        <v>475</v>
      </c>
      <c r="F40" s="8">
        <f>+E40*0.25</f>
        <v>118.75</v>
      </c>
      <c r="G40" s="8">
        <f>+E40+F40</f>
        <v>593.75</v>
      </c>
    </row>
    <row r="41" spans="1:9" x14ac:dyDescent="0.25">
      <c r="B41" s="14"/>
      <c r="E41" s="8"/>
      <c r="F41" s="8">
        <f>+E41*0.25</f>
        <v>0</v>
      </c>
      <c r="G41" s="8">
        <f>+E41+F41</f>
        <v>0</v>
      </c>
    </row>
    <row r="42" spans="1:9" x14ac:dyDescent="0.25">
      <c r="B42" s="14"/>
      <c r="E42" s="8"/>
      <c r="F42" s="8">
        <f>+E42*0.25</f>
        <v>0</v>
      </c>
      <c r="G42" s="8">
        <f>+E42+F42</f>
        <v>0</v>
      </c>
    </row>
    <row r="43" spans="1:9" x14ac:dyDescent="0.25">
      <c r="E43" s="8"/>
      <c r="F43" s="8"/>
      <c r="G43" s="8"/>
    </row>
    <row r="44" spans="1:9" x14ac:dyDescent="0.25">
      <c r="E44" s="8"/>
      <c r="F44" s="8"/>
      <c r="G44" s="8"/>
    </row>
    <row r="46" spans="1:9" ht="18" x14ac:dyDescent="0.25">
      <c r="A46" s="149" t="s">
        <v>145</v>
      </c>
      <c r="B46" s="149"/>
      <c r="G46" s="41">
        <f>+G38+G40</f>
        <v>2593.75</v>
      </c>
      <c r="I46">
        <f>+G46/93</f>
        <v>27.88978494623656</v>
      </c>
    </row>
    <row r="49" spans="1:9" ht="18" x14ac:dyDescent="0.25">
      <c r="A49" s="149" t="s">
        <v>146</v>
      </c>
      <c r="B49" s="149"/>
      <c r="G49" s="41">
        <f>+G34+G46</f>
        <v>18004.47</v>
      </c>
      <c r="I49" s="11">
        <f>+I5+I31+I46</f>
        <v>59.089784946236563</v>
      </c>
    </row>
  </sheetData>
  <mergeCells count="3">
    <mergeCell ref="A34:B34"/>
    <mergeCell ref="A46:B46"/>
    <mergeCell ref="A49:B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7"/>
  <sheetViews>
    <sheetView workbookViewId="0">
      <selection activeCell="D28" sqref="D28"/>
    </sheetView>
  </sheetViews>
  <sheetFormatPr defaultRowHeight="15" x14ac:dyDescent="0.25"/>
  <cols>
    <col min="3" max="3" width="14.140625" customWidth="1"/>
  </cols>
  <sheetData>
    <row r="1" spans="1:7" x14ac:dyDescent="0.25">
      <c r="A1" s="50" t="s">
        <v>184</v>
      </c>
    </row>
    <row r="2" spans="1:7" x14ac:dyDescent="0.25">
      <c r="B2" s="50" t="s">
        <v>187</v>
      </c>
      <c r="C2" s="50" t="s">
        <v>188</v>
      </c>
      <c r="D2" s="50" t="s">
        <v>189</v>
      </c>
      <c r="E2" s="50" t="s">
        <v>190</v>
      </c>
      <c r="F2" s="50" t="s">
        <v>191</v>
      </c>
      <c r="G2" s="50" t="s">
        <v>183</v>
      </c>
    </row>
    <row r="3" spans="1:7" x14ac:dyDescent="0.25">
      <c r="A3" t="s">
        <v>185</v>
      </c>
      <c r="G3">
        <f>SUM(B3:F3)</f>
        <v>0</v>
      </c>
    </row>
    <row r="4" spans="1:7" x14ac:dyDescent="0.25">
      <c r="A4" t="s">
        <v>186</v>
      </c>
      <c r="G4">
        <f>SUM(B4:F4)</f>
        <v>0</v>
      </c>
    </row>
    <row r="5" spans="1:7" x14ac:dyDescent="0.25">
      <c r="A5" s="50" t="s">
        <v>183</v>
      </c>
      <c r="B5" s="50"/>
      <c r="C5" s="50"/>
      <c r="D5" s="50"/>
      <c r="E5" s="50"/>
      <c r="F5" s="50"/>
      <c r="G5" s="50">
        <f>SUM(G3:G4)</f>
        <v>0</v>
      </c>
    </row>
    <row r="10" spans="1:7" x14ac:dyDescent="0.25">
      <c r="B10" t="s">
        <v>317</v>
      </c>
      <c r="C10" t="s">
        <v>318</v>
      </c>
      <c r="G10" t="s">
        <v>319</v>
      </c>
    </row>
    <row r="11" spans="1:7" x14ac:dyDescent="0.25">
      <c r="A11" t="s">
        <v>310</v>
      </c>
      <c r="B11">
        <v>57766</v>
      </c>
      <c r="C11">
        <v>13731.84</v>
      </c>
      <c r="D11">
        <f>+B11+C11</f>
        <v>71497.84</v>
      </c>
      <c r="G11">
        <v>6005.82</v>
      </c>
    </row>
    <row r="12" spans="1:7" x14ac:dyDescent="0.25">
      <c r="A12" t="s">
        <v>185</v>
      </c>
      <c r="B12">
        <v>6866.4</v>
      </c>
      <c r="C12">
        <v>2757.44</v>
      </c>
      <c r="D12">
        <f>+B12+C12</f>
        <v>9623.84</v>
      </c>
      <c r="G12">
        <v>766.47</v>
      </c>
    </row>
    <row r="13" spans="1:7" x14ac:dyDescent="0.25">
      <c r="D13">
        <f>+D11+D12</f>
        <v>81121.679999999993</v>
      </c>
      <c r="G13">
        <f>+G11+G12</f>
        <v>6772.29</v>
      </c>
    </row>
    <row r="15" spans="1:7" x14ac:dyDescent="0.25">
      <c r="D15">
        <f>+D24</f>
        <v>79648.460000000006</v>
      </c>
    </row>
    <row r="16" spans="1:7" x14ac:dyDescent="0.25">
      <c r="C16" t="s">
        <v>320</v>
      </c>
      <c r="D16">
        <f>+D15-D13</f>
        <v>-1473.2199999999866</v>
      </c>
    </row>
    <row r="18" spans="3:7" x14ac:dyDescent="0.25">
      <c r="D18">
        <f>+D11+D12</f>
        <v>81121.679999999993</v>
      </c>
      <c r="G18">
        <f>+D11+D12+G13</f>
        <v>87893.969999999987</v>
      </c>
    </row>
    <row r="20" spans="3:7" x14ac:dyDescent="0.25">
      <c r="C20" t="s">
        <v>232</v>
      </c>
      <c r="D20">
        <f>2725+228</f>
        <v>2953</v>
      </c>
    </row>
    <row r="21" spans="3:7" x14ac:dyDescent="0.25">
      <c r="D21">
        <f>+D18-D20</f>
        <v>78168.679999999993</v>
      </c>
    </row>
    <row r="22" spans="3:7" x14ac:dyDescent="0.25">
      <c r="D22">
        <v>1796.44</v>
      </c>
    </row>
    <row r="23" spans="3:7" x14ac:dyDescent="0.25">
      <c r="D23">
        <f>+D21+D22</f>
        <v>79965.119999999995</v>
      </c>
    </row>
    <row r="24" spans="3:7" x14ac:dyDescent="0.25">
      <c r="D24">
        <v>79648.460000000006</v>
      </c>
    </row>
    <row r="25" spans="3:7" x14ac:dyDescent="0.25">
      <c r="D25">
        <f>+D23-D24</f>
        <v>316.65999999998894</v>
      </c>
    </row>
    <row r="27" spans="3:7" x14ac:dyDescent="0.25">
      <c r="D27">
        <f>+D11+D12+D16</f>
        <v>79648.460000000006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G9"/>
  <sheetViews>
    <sheetView workbookViewId="0">
      <selection activeCell="N27" sqref="N27"/>
    </sheetView>
  </sheetViews>
  <sheetFormatPr defaultRowHeight="15" x14ac:dyDescent="0.25"/>
  <cols>
    <col min="7" max="7" width="10.85546875" customWidth="1"/>
  </cols>
  <sheetData>
    <row r="1" spans="1:7" x14ac:dyDescent="0.25">
      <c r="A1" s="50" t="s">
        <v>169</v>
      </c>
      <c r="B1" s="50"/>
      <c r="C1" s="63"/>
    </row>
    <row r="3" spans="1:7" x14ac:dyDescent="0.25">
      <c r="A3" s="64"/>
      <c r="B3" s="65"/>
      <c r="C3" s="65"/>
      <c r="D3" s="65"/>
      <c r="E3" s="65"/>
      <c r="F3" s="65"/>
      <c r="G3" s="58" t="s">
        <v>171</v>
      </c>
    </row>
    <row r="4" spans="1:7" x14ac:dyDescent="0.25">
      <c r="A4" s="65"/>
      <c r="B4" s="51"/>
      <c r="C4" s="51"/>
      <c r="D4" s="51"/>
      <c r="E4" s="51"/>
      <c r="F4" s="51"/>
      <c r="G4" s="51"/>
    </row>
    <row r="5" spans="1:7" x14ac:dyDescent="0.25">
      <c r="A5" s="65"/>
      <c r="B5" s="51"/>
      <c r="C5" s="51"/>
      <c r="D5" s="51"/>
      <c r="E5" s="51"/>
      <c r="F5" s="51"/>
      <c r="G5" s="51"/>
    </row>
    <row r="6" spans="1:7" x14ac:dyDescent="0.25">
      <c r="A6" s="65"/>
      <c r="B6" s="51"/>
      <c r="C6" s="51"/>
      <c r="D6" s="51"/>
      <c r="E6" s="51"/>
      <c r="F6" s="51"/>
      <c r="G6" s="51"/>
    </row>
    <row r="7" spans="1:7" x14ac:dyDescent="0.25">
      <c r="A7" s="51"/>
      <c r="B7" s="51">
        <f>SUM(B4:B6)</f>
        <v>0</v>
      </c>
      <c r="C7" s="51">
        <f>SUM(C4:C6)</f>
        <v>0</v>
      </c>
      <c r="D7" s="51">
        <f>SUM(D4:D6)</f>
        <v>0</v>
      </c>
      <c r="E7" s="51">
        <f>SUM(E4:E6)</f>
        <v>0</v>
      </c>
      <c r="F7" s="51">
        <f>SUM(F4:F6)</f>
        <v>0</v>
      </c>
      <c r="G7" s="58">
        <f>SUM(B7:F7)</f>
        <v>0</v>
      </c>
    </row>
    <row r="8" spans="1:7" x14ac:dyDescent="0.25">
      <c r="A8" s="51"/>
      <c r="B8" s="51"/>
      <c r="C8" s="51"/>
      <c r="D8" s="51"/>
      <c r="E8" s="51"/>
      <c r="F8" s="58" t="s">
        <v>170</v>
      </c>
      <c r="G8" s="58">
        <f>+G7/40</f>
        <v>0</v>
      </c>
    </row>
    <row r="9" spans="1:7" x14ac:dyDescent="0.25">
      <c r="F9" s="50"/>
      <c r="G9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Budget</vt:lpstr>
      <vt:lpstr>Profit Sharing</vt:lpstr>
      <vt:lpstr>Speakers</vt:lpstr>
      <vt:lpstr>Mgmt Food Budget</vt:lpstr>
      <vt:lpstr>Maint Food Budget</vt:lpstr>
      <vt:lpstr>Mgmt Food Actual</vt:lpstr>
      <vt:lpstr>Maint Food Actual</vt:lpstr>
      <vt:lpstr>Audio Visual</vt:lpstr>
      <vt:lpstr>Hotel Pick Up</vt:lpstr>
      <vt:lpstr>Convention Center Invoice</vt:lpstr>
      <vt:lpstr>Budget!Print_Area</vt:lpstr>
      <vt:lpstr>'Convention Center Invoice'!Print_Area</vt:lpstr>
      <vt:lpstr>'Profit Sharing'!Print_Area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Martens</cp:lastModifiedBy>
  <cp:lastPrinted>2019-07-15T23:00:12Z</cp:lastPrinted>
  <dcterms:created xsi:type="dcterms:W3CDTF">2011-09-06T19:34:14Z</dcterms:created>
  <dcterms:modified xsi:type="dcterms:W3CDTF">2019-10-23T15:52:25Z</dcterms:modified>
</cp:coreProperties>
</file>